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35" windowWidth="7635" windowHeight="540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</sheets>
  <definedNames>
    <definedName name="_xlnm.Print_Titles" localSheetId="1">'1 подпр'!$4:$5</definedName>
    <definedName name="_xlnm.Print_Titles" localSheetId="2">'2 подпр'!$A:$B,'2 подпр'!$4:$5</definedName>
    <definedName name="_xlnm.Print_Area" localSheetId="1">'1 подпр'!$A$1:$AL$89</definedName>
    <definedName name="_xlnm.Print_Area" localSheetId="2">'2 подпр'!$A$1:$AO$207</definedName>
    <definedName name="_xlnm.Print_Area" localSheetId="3">'3-подпр'!$A$1:$AJ$21</definedName>
    <definedName name="_xlnm.Print_Area" localSheetId="4">'4-подпр'!$A$2:$AJ$32</definedName>
    <definedName name="_xlnm.Print_Area" localSheetId="5">'5-подпр'!$A$1:$AJ$14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свод.!$A$1:$K$48</definedName>
  </definedNames>
  <calcPr calcId="144525"/>
</workbook>
</file>

<file path=xl/calcChain.xml><?xml version="1.0" encoding="utf-8"?>
<calcChain xmlns="http://schemas.openxmlformats.org/spreadsheetml/2006/main">
  <c r="F18" i="41" l="1"/>
  <c r="F6" i="41"/>
  <c r="X11" i="22"/>
  <c r="X10" i="22"/>
  <c r="X9" i="22"/>
  <c r="X18" i="37"/>
  <c r="AB18" i="37" l="1"/>
  <c r="G44" i="41" l="1"/>
  <c r="G6" i="41"/>
  <c r="F12" i="41" l="1"/>
  <c r="F24" i="41"/>
  <c r="X19" i="22" l="1"/>
  <c r="X30" i="22"/>
  <c r="X35" i="22"/>
  <c r="X46" i="22"/>
  <c r="X56" i="22"/>
  <c r="X55" i="22"/>
  <c r="W77" i="27"/>
  <c r="W183" i="27"/>
  <c r="X19" i="37"/>
  <c r="X11" i="37"/>
  <c r="X8" i="39"/>
  <c r="AB7" i="37" l="1"/>
  <c r="AB11" i="22" l="1"/>
  <c r="AB10" i="22"/>
  <c r="AB9" i="22"/>
  <c r="X34" i="22" l="1"/>
  <c r="X40" i="22"/>
  <c r="W17" i="22"/>
  <c r="G179" i="27" l="1"/>
  <c r="D179" i="27" s="1"/>
  <c r="G180" i="27"/>
  <c r="D180" i="27" s="1"/>
  <c r="G181" i="27"/>
  <c r="D181" i="27" s="1"/>
  <c r="T178" i="27"/>
  <c r="T179" i="27"/>
  <c r="T180" i="27"/>
  <c r="T181" i="27"/>
  <c r="U37" i="22" l="1"/>
  <c r="X61" i="22" l="1"/>
  <c r="X54" i="22"/>
  <c r="V187" i="27" l="1"/>
  <c r="AL205" i="27"/>
  <c r="H205" i="27"/>
  <c r="G205" i="27"/>
  <c r="G204" i="27" s="1"/>
  <c r="G203" i="27" s="1"/>
  <c r="F205" i="27"/>
  <c r="F204" i="27" s="1"/>
  <c r="F203" i="27" s="1"/>
  <c r="E205" i="27"/>
  <c r="AL204" i="27"/>
  <c r="K204" i="27"/>
  <c r="J204" i="27"/>
  <c r="I204" i="27"/>
  <c r="I203" i="27" s="1"/>
  <c r="H204" i="27"/>
  <c r="H203" i="27" s="1"/>
  <c r="AO203" i="27"/>
  <c r="AO202" i="27" s="1"/>
  <c r="AN203" i="27"/>
  <c r="AM203" i="27"/>
  <c r="AM202" i="27" s="1"/>
  <c r="AK203" i="27"/>
  <c r="AH203" i="27"/>
  <c r="AG203" i="27"/>
  <c r="AD203" i="27" s="1"/>
  <c r="W203" i="27"/>
  <c r="T203" i="27" s="1"/>
  <c r="S203" i="27"/>
  <c r="P203" i="27" s="1"/>
  <c r="K203" i="27"/>
  <c r="J203" i="27"/>
  <c r="AL201" i="27"/>
  <c r="AH201" i="27"/>
  <c r="AD201" i="27"/>
  <c r="T201" i="27"/>
  <c r="P201" i="27"/>
  <c r="L201" i="27"/>
  <c r="H201" i="27"/>
  <c r="G201" i="27"/>
  <c r="F201" i="27"/>
  <c r="E201" i="27"/>
  <c r="AL200" i="27"/>
  <c r="AH200" i="27"/>
  <c r="AD200" i="27"/>
  <c r="T200" i="27"/>
  <c r="P200" i="27"/>
  <c r="L200" i="27"/>
  <c r="H200" i="27"/>
  <c r="G200" i="27"/>
  <c r="F200" i="27"/>
  <c r="E200" i="27"/>
  <c r="AL199" i="27"/>
  <c r="P199" i="27"/>
  <c r="G199" i="27"/>
  <c r="F199" i="27"/>
  <c r="E199" i="27"/>
  <c r="AL198" i="27"/>
  <c r="P198" i="27"/>
  <c r="G198" i="27"/>
  <c r="F198" i="27"/>
  <c r="E198" i="27"/>
  <c r="AL197" i="27"/>
  <c r="P197" i="27"/>
  <c r="H197" i="27"/>
  <c r="G197" i="27"/>
  <c r="F197" i="27"/>
  <c r="E197" i="27"/>
  <c r="AL196" i="27"/>
  <c r="L196" i="27"/>
  <c r="G196" i="27"/>
  <c r="F196" i="27"/>
  <c r="E196" i="27"/>
  <c r="AL195" i="27"/>
  <c r="L195" i="27"/>
  <c r="G195" i="27"/>
  <c r="F195" i="27"/>
  <c r="E195" i="27"/>
  <c r="AL194" i="27"/>
  <c r="L194" i="27"/>
  <c r="G194" i="27"/>
  <c r="F194" i="27"/>
  <c r="E194" i="27"/>
  <c r="AL193" i="27"/>
  <c r="L193" i="27"/>
  <c r="G193" i="27"/>
  <c r="F193" i="27"/>
  <c r="E193" i="27"/>
  <c r="AL192" i="27"/>
  <c r="AD192" i="27"/>
  <c r="P192" i="27"/>
  <c r="G192" i="27"/>
  <c r="F192" i="27"/>
  <c r="E192" i="27"/>
  <c r="AL191" i="27"/>
  <c r="H191" i="27"/>
  <c r="H189" i="27" s="1"/>
  <c r="H188" i="27" s="1"/>
  <c r="G191" i="27"/>
  <c r="F191" i="27"/>
  <c r="E191" i="27"/>
  <c r="AL190" i="27"/>
  <c r="T190" i="27"/>
  <c r="L190" i="27"/>
  <c r="G190" i="27"/>
  <c r="F190" i="27"/>
  <c r="E190" i="27"/>
  <c r="AL189" i="27"/>
  <c r="AK189" i="27"/>
  <c r="AJ189" i="27"/>
  <c r="AJ188" i="27" s="1"/>
  <c r="AI189" i="27"/>
  <c r="AI188" i="27" s="1"/>
  <c r="AG189" i="27"/>
  <c r="AG188" i="27" s="1"/>
  <c r="AF189" i="27"/>
  <c r="AF188" i="27" s="1"/>
  <c r="AE189" i="27"/>
  <c r="W189" i="27"/>
  <c r="V189" i="27"/>
  <c r="U189" i="27"/>
  <c r="U188" i="27" s="1"/>
  <c r="S189" i="27"/>
  <c r="S188" i="27" s="1"/>
  <c r="R189" i="27"/>
  <c r="R188" i="27" s="1"/>
  <c r="Q189" i="27"/>
  <c r="O189" i="27"/>
  <c r="O188" i="27" s="1"/>
  <c r="N189" i="27"/>
  <c r="N188" i="27" s="1"/>
  <c r="M189" i="27"/>
  <c r="M188" i="27" s="1"/>
  <c r="K189" i="27"/>
  <c r="J189" i="27"/>
  <c r="I189" i="27"/>
  <c r="E189" i="27" s="1"/>
  <c r="AO188" i="27"/>
  <c r="AN188" i="27"/>
  <c r="AM188" i="27"/>
  <c r="AE188" i="27"/>
  <c r="V188" i="27"/>
  <c r="Q188" i="27"/>
  <c r="K188" i="27"/>
  <c r="J188" i="27"/>
  <c r="AL187" i="27"/>
  <c r="W187" i="27"/>
  <c r="G187" i="27"/>
  <c r="F187" i="27"/>
  <c r="E187" i="27"/>
  <c r="AL186" i="27"/>
  <c r="AH186" i="27"/>
  <c r="AD186" i="27"/>
  <c r="T186" i="27"/>
  <c r="P186" i="27"/>
  <c r="G186" i="27"/>
  <c r="F186" i="27"/>
  <c r="E186" i="27"/>
  <c r="AL185" i="27"/>
  <c r="AH185" i="27"/>
  <c r="AD185" i="27"/>
  <c r="T185" i="27"/>
  <c r="L185" i="27"/>
  <c r="G185" i="27"/>
  <c r="F185" i="27"/>
  <c r="E185" i="27"/>
  <c r="AO184" i="27"/>
  <c r="AN184" i="27"/>
  <c r="AM184" i="27"/>
  <c r="AK184" i="27"/>
  <c r="AJ184" i="27"/>
  <c r="AI184" i="27"/>
  <c r="AH184" i="27" s="1"/>
  <c r="AG184" i="27"/>
  <c r="AF184" i="27"/>
  <c r="AE184" i="27"/>
  <c r="W184" i="27"/>
  <c r="V184" i="27"/>
  <c r="U184" i="27"/>
  <c r="S184" i="27"/>
  <c r="R184" i="27"/>
  <c r="Q184" i="27"/>
  <c r="O184" i="27"/>
  <c r="N184" i="27"/>
  <c r="M184" i="27"/>
  <c r="L184" i="27" s="1"/>
  <c r="AL183" i="27"/>
  <c r="AH183" i="27"/>
  <c r="AD183" i="27"/>
  <c r="T183" i="27"/>
  <c r="P183" i="27"/>
  <c r="G183" i="27"/>
  <c r="G182" i="27" s="1"/>
  <c r="D182" i="27" s="1"/>
  <c r="F183" i="27"/>
  <c r="E183" i="27"/>
  <c r="AO182" i="27"/>
  <c r="AL182" i="27"/>
  <c r="AK182" i="27"/>
  <c r="AJ182" i="27"/>
  <c r="AI182" i="27"/>
  <c r="AG182" i="27"/>
  <c r="AF182" i="27"/>
  <c r="AE182" i="27"/>
  <c r="W182" i="27"/>
  <c r="V182" i="27"/>
  <c r="U182" i="27"/>
  <c r="S182" i="27"/>
  <c r="R182" i="27"/>
  <c r="Q182" i="27"/>
  <c r="AL178" i="27"/>
  <c r="AH178" i="27"/>
  <c r="AD178" i="27"/>
  <c r="G178" i="27"/>
  <c r="D178" i="27" s="1"/>
  <c r="F177" i="27"/>
  <c r="E177" i="27"/>
  <c r="T176" i="27"/>
  <c r="G176" i="27"/>
  <c r="F176" i="27"/>
  <c r="E176" i="27"/>
  <c r="T175" i="27"/>
  <c r="G175" i="27"/>
  <c r="F175" i="27"/>
  <c r="E175" i="27"/>
  <c r="T174" i="27"/>
  <c r="G174" i="27"/>
  <c r="F174" i="27"/>
  <c r="E174" i="27"/>
  <c r="T173" i="27"/>
  <c r="G173" i="27"/>
  <c r="F173" i="27"/>
  <c r="E173" i="27"/>
  <c r="T172" i="27"/>
  <c r="G172" i="27"/>
  <c r="F172" i="27"/>
  <c r="E172" i="27"/>
  <c r="T171" i="27"/>
  <c r="G171" i="27"/>
  <c r="F171" i="27"/>
  <c r="E171" i="27"/>
  <c r="AH170" i="27"/>
  <c r="AD170" i="27"/>
  <c r="T170" i="27"/>
  <c r="G170" i="27"/>
  <c r="F170" i="27"/>
  <c r="E170" i="27"/>
  <c r="AH169" i="27"/>
  <c r="AD169" i="27"/>
  <c r="T169" i="27"/>
  <c r="G169" i="27"/>
  <c r="F169" i="27"/>
  <c r="E169" i="27"/>
  <c r="AH168" i="27"/>
  <c r="AD168" i="27"/>
  <c r="T168" i="27"/>
  <c r="P168" i="27"/>
  <c r="G168" i="27"/>
  <c r="F168" i="27"/>
  <c r="E168" i="27"/>
  <c r="AH167" i="27"/>
  <c r="AD167" i="27"/>
  <c r="T167" i="27"/>
  <c r="P167" i="27"/>
  <c r="G167" i="27"/>
  <c r="F167" i="27"/>
  <c r="E167" i="27"/>
  <c r="AH166" i="27"/>
  <c r="AD166" i="27"/>
  <c r="W166" i="27"/>
  <c r="P166" i="27"/>
  <c r="F166" i="27"/>
  <c r="E166" i="27"/>
  <c r="AH165" i="27"/>
  <c r="AD165" i="27"/>
  <c r="T165" i="27"/>
  <c r="P165" i="27"/>
  <c r="G165" i="27"/>
  <c r="F165" i="27"/>
  <c r="E165" i="27"/>
  <c r="AH164" i="27"/>
  <c r="AD164" i="27"/>
  <c r="T164" i="27"/>
  <c r="P164" i="27"/>
  <c r="G164" i="27"/>
  <c r="F164" i="27"/>
  <c r="E164" i="27"/>
  <c r="AH163" i="27"/>
  <c r="AD163" i="27"/>
  <c r="T163" i="27"/>
  <c r="P163" i="27"/>
  <c r="G163" i="27"/>
  <c r="F163" i="27"/>
  <c r="E163" i="27"/>
  <c r="AH162" i="27"/>
  <c r="AD162" i="27"/>
  <c r="T162" i="27"/>
  <c r="P162" i="27"/>
  <c r="G162" i="27"/>
  <c r="F162" i="27"/>
  <c r="E162" i="27"/>
  <c r="L161" i="27"/>
  <c r="G161" i="27"/>
  <c r="F161" i="27"/>
  <c r="E161" i="27"/>
  <c r="T160" i="27"/>
  <c r="G160" i="27"/>
  <c r="F160" i="27"/>
  <c r="E160" i="27"/>
  <c r="T159" i="27"/>
  <c r="G159" i="27"/>
  <c r="F159" i="27"/>
  <c r="E159" i="27"/>
  <c r="AD158" i="27"/>
  <c r="T158" i="27"/>
  <c r="G158" i="27"/>
  <c r="F158" i="27"/>
  <c r="E158" i="27"/>
  <c r="T157" i="27"/>
  <c r="G157" i="27"/>
  <c r="F157" i="27"/>
  <c r="E157" i="27"/>
  <c r="W156" i="27"/>
  <c r="G156" i="27" s="1"/>
  <c r="F156" i="27"/>
  <c r="E156" i="27"/>
  <c r="T155" i="27"/>
  <c r="P155" i="27"/>
  <c r="G155" i="27"/>
  <c r="F155" i="27"/>
  <c r="E155" i="27"/>
  <c r="T154" i="27"/>
  <c r="P154" i="27"/>
  <c r="G154" i="27"/>
  <c r="F154" i="27"/>
  <c r="E154" i="27"/>
  <c r="T153" i="27"/>
  <c r="P153" i="27"/>
  <c r="G153" i="27"/>
  <c r="F153" i="27"/>
  <c r="E153" i="27"/>
  <c r="AH152" i="27"/>
  <c r="W152" i="27"/>
  <c r="P152" i="27"/>
  <c r="F152" i="27"/>
  <c r="E152" i="27"/>
  <c r="P151" i="27"/>
  <c r="G151" i="27"/>
  <c r="F151" i="27"/>
  <c r="E151" i="27"/>
  <c r="P150" i="27"/>
  <c r="G150" i="27"/>
  <c r="F150" i="27"/>
  <c r="E150" i="27"/>
  <c r="P149" i="27"/>
  <c r="G149" i="27"/>
  <c r="F149" i="27"/>
  <c r="E149" i="27"/>
  <c r="P148" i="27"/>
  <c r="G148" i="27"/>
  <c r="F148" i="27"/>
  <c r="E148" i="27"/>
  <c r="T147" i="27"/>
  <c r="P147" i="27"/>
  <c r="G147" i="27"/>
  <c r="F147" i="27"/>
  <c r="E147" i="27"/>
  <c r="P146" i="27"/>
  <c r="G146" i="27"/>
  <c r="F146" i="27"/>
  <c r="E146" i="27"/>
  <c r="L145" i="27"/>
  <c r="G145" i="27"/>
  <c r="F145" i="27"/>
  <c r="E145" i="27"/>
  <c r="L144" i="27"/>
  <c r="L142" i="27" s="1"/>
  <c r="G144" i="27"/>
  <c r="F144" i="27"/>
  <c r="E144" i="27"/>
  <c r="P143" i="27"/>
  <c r="G143" i="27"/>
  <c r="F143" i="27"/>
  <c r="E143" i="27"/>
  <c r="AO142" i="27"/>
  <c r="AM142" i="27"/>
  <c r="AK142" i="27"/>
  <c r="AH142" i="27" s="1"/>
  <c r="AI142" i="27"/>
  <c r="AG142" i="27"/>
  <c r="AF142" i="27"/>
  <c r="AE142" i="27"/>
  <c r="V142" i="27"/>
  <c r="U142" i="27"/>
  <c r="S142" i="27"/>
  <c r="R142" i="27"/>
  <c r="Q142" i="27"/>
  <c r="O142" i="27"/>
  <c r="N142" i="27"/>
  <c r="M142" i="27"/>
  <c r="T141" i="27"/>
  <c r="G141" i="27"/>
  <c r="F141" i="27"/>
  <c r="E141" i="27"/>
  <c r="P140" i="27"/>
  <c r="G140" i="27"/>
  <c r="F140" i="27"/>
  <c r="E140" i="27"/>
  <c r="P139" i="27"/>
  <c r="G139" i="27"/>
  <c r="F139" i="27"/>
  <c r="E139" i="27"/>
  <c r="P138" i="27"/>
  <c r="G138" i="27"/>
  <c r="F138" i="27"/>
  <c r="E138" i="27"/>
  <c r="T137" i="27"/>
  <c r="P137" i="27"/>
  <c r="G137" i="27"/>
  <c r="F137" i="27"/>
  <c r="E137" i="27"/>
  <c r="T136" i="27"/>
  <c r="P136" i="27"/>
  <c r="L136" i="27"/>
  <c r="G136" i="27"/>
  <c r="F136" i="27"/>
  <c r="E136" i="27"/>
  <c r="T135" i="27"/>
  <c r="S135" i="27"/>
  <c r="R135" i="27"/>
  <c r="R134" i="27" s="1"/>
  <c r="Q135" i="27"/>
  <c r="E135" i="27" s="1"/>
  <c r="O135" i="27"/>
  <c r="L135" i="27" s="1"/>
  <c r="AO134" i="27"/>
  <c r="AN134" i="27"/>
  <c r="AM134" i="27"/>
  <c r="AK134" i="27"/>
  <c r="AJ134" i="27"/>
  <c r="AI134" i="27"/>
  <c r="AG134" i="27"/>
  <c r="AF134" i="27"/>
  <c r="AE134" i="27"/>
  <c r="W134" i="27"/>
  <c r="V134" i="27"/>
  <c r="U134" i="27"/>
  <c r="S134" i="27"/>
  <c r="L134" i="27"/>
  <c r="AD133" i="27"/>
  <c r="G133" i="27"/>
  <c r="F133" i="27"/>
  <c r="E133" i="27"/>
  <c r="AD132" i="27"/>
  <c r="G132" i="27"/>
  <c r="F132" i="27"/>
  <c r="E132" i="27"/>
  <c r="AD131" i="27"/>
  <c r="G131" i="27"/>
  <c r="F131" i="27"/>
  <c r="E131" i="27"/>
  <c r="AD130" i="27"/>
  <c r="T130" i="27"/>
  <c r="G130" i="27"/>
  <c r="F130" i="27"/>
  <c r="E130" i="27"/>
  <c r="AD129" i="27"/>
  <c r="T129" i="27"/>
  <c r="G129" i="27"/>
  <c r="D129" i="27" s="1"/>
  <c r="AD128" i="27"/>
  <c r="T128" i="27"/>
  <c r="G128" i="27"/>
  <c r="F128" i="27"/>
  <c r="E128" i="27"/>
  <c r="T127" i="27"/>
  <c r="G127" i="27"/>
  <c r="F127" i="27"/>
  <c r="E127" i="27"/>
  <c r="AD126" i="27"/>
  <c r="T126" i="27"/>
  <c r="G126" i="27"/>
  <c r="F126" i="27"/>
  <c r="E126" i="27"/>
  <c r="T125" i="27"/>
  <c r="G125" i="27"/>
  <c r="F125" i="27"/>
  <c r="E125" i="27"/>
  <c r="AD124" i="27"/>
  <c r="T124" i="27"/>
  <c r="G124" i="27"/>
  <c r="F124" i="27"/>
  <c r="E124" i="27"/>
  <c r="T123" i="27"/>
  <c r="G123" i="27"/>
  <c r="F123" i="27"/>
  <c r="E123" i="27"/>
  <c r="T122" i="27"/>
  <c r="G122" i="27"/>
  <c r="F122" i="27"/>
  <c r="E122" i="27"/>
  <c r="T121" i="27"/>
  <c r="G121" i="27"/>
  <c r="F121" i="27"/>
  <c r="E121" i="27"/>
  <c r="T120" i="27"/>
  <c r="G120" i="27"/>
  <c r="F120" i="27"/>
  <c r="E120" i="27"/>
  <c r="T119" i="27"/>
  <c r="G119" i="27"/>
  <c r="F119" i="27"/>
  <c r="E119" i="27"/>
  <c r="T118" i="27"/>
  <c r="G118" i="27"/>
  <c r="F118" i="27"/>
  <c r="E118" i="27"/>
  <c r="T117" i="27"/>
  <c r="G117" i="27"/>
  <c r="F117" i="27"/>
  <c r="E117" i="27"/>
  <c r="T116" i="27"/>
  <c r="G116" i="27"/>
  <c r="F116" i="27"/>
  <c r="E116" i="27"/>
  <c r="T115" i="27"/>
  <c r="G115" i="27"/>
  <c r="F115" i="27"/>
  <c r="E115" i="27"/>
  <c r="T114" i="27"/>
  <c r="G114" i="27"/>
  <c r="F114" i="27"/>
  <c r="E114" i="27"/>
  <c r="AD113" i="27"/>
  <c r="T113" i="27"/>
  <c r="G113" i="27"/>
  <c r="F113" i="27"/>
  <c r="E113" i="27"/>
  <c r="T112" i="27"/>
  <c r="G112" i="27"/>
  <c r="F112" i="27"/>
  <c r="E112" i="27"/>
  <c r="T111" i="27"/>
  <c r="G111" i="27"/>
  <c r="F111" i="27"/>
  <c r="E111" i="27"/>
  <c r="T110" i="27"/>
  <c r="G110" i="27"/>
  <c r="F110" i="27"/>
  <c r="E110" i="27"/>
  <c r="AH109" i="27"/>
  <c r="AD109" i="27"/>
  <c r="T109" i="27"/>
  <c r="G109" i="27"/>
  <c r="F109" i="27"/>
  <c r="E109" i="27"/>
  <c r="AH108" i="27"/>
  <c r="AD108" i="27"/>
  <c r="T108" i="27"/>
  <c r="P108" i="27"/>
  <c r="G108" i="27"/>
  <c r="F108" i="27"/>
  <c r="E108" i="27"/>
  <c r="P107" i="27"/>
  <c r="G107" i="27"/>
  <c r="D107" i="27" s="1"/>
  <c r="P106" i="27"/>
  <c r="G106" i="27"/>
  <c r="F106" i="27"/>
  <c r="E106" i="27"/>
  <c r="P105" i="27"/>
  <c r="G105" i="27"/>
  <c r="F105" i="27"/>
  <c r="E105" i="27"/>
  <c r="P104" i="27"/>
  <c r="G104" i="27"/>
  <c r="F104" i="27"/>
  <c r="E104" i="27"/>
  <c r="P103" i="27"/>
  <c r="G103" i="27"/>
  <c r="F103" i="27"/>
  <c r="E103" i="27"/>
  <c r="T102" i="27"/>
  <c r="P102" i="27"/>
  <c r="G102" i="27"/>
  <c r="F102" i="27"/>
  <c r="E102" i="27"/>
  <c r="T101" i="27"/>
  <c r="P101" i="27"/>
  <c r="G101" i="27"/>
  <c r="F101" i="27"/>
  <c r="E101" i="27"/>
  <c r="T100" i="27"/>
  <c r="P100" i="27"/>
  <c r="G100" i="27"/>
  <c r="F100" i="27"/>
  <c r="E100" i="27"/>
  <c r="T99" i="27"/>
  <c r="P99" i="27"/>
  <c r="G99" i="27"/>
  <c r="F99" i="27"/>
  <c r="E99" i="27"/>
  <c r="P98" i="27"/>
  <c r="G98" i="27"/>
  <c r="F98" i="27"/>
  <c r="E98" i="27"/>
  <c r="P97" i="27"/>
  <c r="G97" i="27"/>
  <c r="F97" i="27"/>
  <c r="E97" i="27"/>
  <c r="P96" i="27"/>
  <c r="G96" i="27"/>
  <c r="F96" i="27"/>
  <c r="E96" i="27"/>
  <c r="P95" i="27"/>
  <c r="G95" i="27"/>
  <c r="F95" i="27"/>
  <c r="E95" i="27"/>
  <c r="P94" i="27"/>
  <c r="G94" i="27"/>
  <c r="F94" i="27"/>
  <c r="E94" i="27"/>
  <c r="P93" i="27"/>
  <c r="G93" i="27"/>
  <c r="F93" i="27"/>
  <c r="E93" i="27"/>
  <c r="P92" i="27"/>
  <c r="G92" i="27"/>
  <c r="F92" i="27"/>
  <c r="E92" i="27"/>
  <c r="L91" i="27"/>
  <c r="G91" i="27"/>
  <c r="F91" i="27"/>
  <c r="E91" i="27"/>
  <c r="L90" i="27"/>
  <c r="G90" i="27"/>
  <c r="F90" i="27"/>
  <c r="E90" i="27"/>
  <c r="AD89" i="27"/>
  <c r="P89" i="27"/>
  <c r="G89" i="27"/>
  <c r="F89" i="27"/>
  <c r="E89" i="27"/>
  <c r="L88" i="27"/>
  <c r="G88" i="27"/>
  <c r="F88" i="27"/>
  <c r="E88" i="27"/>
  <c r="L87" i="27"/>
  <c r="G87" i="27"/>
  <c r="F87" i="27"/>
  <c r="E87" i="27"/>
  <c r="L86" i="27"/>
  <c r="G86" i="27"/>
  <c r="F86" i="27"/>
  <c r="E86" i="27"/>
  <c r="L85" i="27"/>
  <c r="G85" i="27"/>
  <c r="F85" i="27"/>
  <c r="E85" i="27"/>
  <c r="L84" i="27"/>
  <c r="G84" i="27"/>
  <c r="F84" i="27"/>
  <c r="E84" i="27"/>
  <c r="K83" i="27"/>
  <c r="G83" i="27" s="1"/>
  <c r="F83" i="27"/>
  <c r="E83" i="27"/>
  <c r="H82" i="27"/>
  <c r="G82" i="27"/>
  <c r="F82" i="27"/>
  <c r="E82" i="27"/>
  <c r="H81" i="27"/>
  <c r="G81" i="27"/>
  <c r="F81" i="27"/>
  <c r="E81" i="27"/>
  <c r="P80" i="27"/>
  <c r="H80" i="27"/>
  <c r="G80" i="27"/>
  <c r="F80" i="27"/>
  <c r="E80" i="27"/>
  <c r="H79" i="27"/>
  <c r="G79" i="27"/>
  <c r="F79" i="27"/>
  <c r="E79" i="27"/>
  <c r="L78" i="27"/>
  <c r="H78" i="27"/>
  <c r="G78" i="27"/>
  <c r="F78" i="27"/>
  <c r="E78" i="27"/>
  <c r="AD77" i="27"/>
  <c r="W51" i="27"/>
  <c r="T77" i="27"/>
  <c r="P77" i="27"/>
  <c r="L77" i="27"/>
  <c r="H77" i="27"/>
  <c r="G77" i="27"/>
  <c r="F77" i="27"/>
  <c r="E77" i="27"/>
  <c r="T76" i="27"/>
  <c r="L76" i="27"/>
  <c r="G76" i="27"/>
  <c r="F76" i="27"/>
  <c r="E76" i="27"/>
  <c r="L75" i="27"/>
  <c r="G75" i="27"/>
  <c r="F75" i="27"/>
  <c r="E75" i="27"/>
  <c r="L74" i="27"/>
  <c r="G74" i="27"/>
  <c r="F74" i="27"/>
  <c r="E74" i="27"/>
  <c r="L73" i="27"/>
  <c r="G73" i="27"/>
  <c r="F73" i="27"/>
  <c r="E73" i="27"/>
  <c r="L72" i="27"/>
  <c r="H72" i="27"/>
  <c r="G72" i="27"/>
  <c r="F72" i="27"/>
  <c r="E72" i="27"/>
  <c r="P71" i="27"/>
  <c r="H71" i="27"/>
  <c r="G71" i="27"/>
  <c r="F71" i="27"/>
  <c r="E71" i="27"/>
  <c r="P70" i="27"/>
  <c r="H70" i="27"/>
  <c r="G70" i="27"/>
  <c r="F70" i="27"/>
  <c r="E70" i="27"/>
  <c r="P69" i="27"/>
  <c r="H69" i="27"/>
  <c r="G69" i="27"/>
  <c r="F69" i="27"/>
  <c r="E69" i="27"/>
  <c r="L68" i="27"/>
  <c r="K68" i="27"/>
  <c r="F68" i="27"/>
  <c r="E68" i="27"/>
  <c r="P67" i="27"/>
  <c r="L67" i="27"/>
  <c r="G67" i="27"/>
  <c r="F67" i="27"/>
  <c r="E67" i="27"/>
  <c r="L66" i="27"/>
  <c r="H66" i="27"/>
  <c r="G66" i="27"/>
  <c r="F66" i="27"/>
  <c r="E66" i="27"/>
  <c r="P65" i="27"/>
  <c r="L65" i="27"/>
  <c r="G65" i="27"/>
  <c r="F65" i="27"/>
  <c r="E65" i="27"/>
  <c r="T64" i="27"/>
  <c r="P64" i="27"/>
  <c r="L64" i="27"/>
  <c r="G64" i="27"/>
  <c r="F64" i="27"/>
  <c r="E64" i="27"/>
  <c r="L63" i="27"/>
  <c r="H63" i="27"/>
  <c r="G63" i="27"/>
  <c r="F63" i="27"/>
  <c r="E63" i="27"/>
  <c r="L62" i="27"/>
  <c r="G62" i="27"/>
  <c r="F62" i="27"/>
  <c r="E62" i="27"/>
  <c r="P61" i="27"/>
  <c r="L61" i="27"/>
  <c r="G61" i="27"/>
  <c r="F61" i="27"/>
  <c r="E61" i="27"/>
  <c r="L60" i="27"/>
  <c r="G60" i="27"/>
  <c r="F60" i="27"/>
  <c r="E60" i="27"/>
  <c r="G59" i="27"/>
  <c r="F59" i="27"/>
  <c r="E59" i="27"/>
  <c r="H58" i="27"/>
  <c r="G58" i="27"/>
  <c r="F58" i="27"/>
  <c r="E58" i="27"/>
  <c r="P57" i="27"/>
  <c r="G57" i="27"/>
  <c r="F57" i="27"/>
  <c r="E57" i="27"/>
  <c r="L56" i="27"/>
  <c r="G56" i="27"/>
  <c r="F56" i="27"/>
  <c r="E56" i="27"/>
  <c r="L55" i="27"/>
  <c r="G55" i="27"/>
  <c r="F55" i="27"/>
  <c r="E55" i="27"/>
  <c r="K54" i="27"/>
  <c r="G54" i="27" s="1"/>
  <c r="F54" i="27"/>
  <c r="E54" i="27"/>
  <c r="H53" i="27"/>
  <c r="G53" i="27"/>
  <c r="F53" i="27"/>
  <c r="E53" i="27"/>
  <c r="K52" i="27"/>
  <c r="H52" i="27" s="1"/>
  <c r="F52" i="27"/>
  <c r="E52" i="27"/>
  <c r="AN51" i="27"/>
  <c r="AM51" i="27"/>
  <c r="AJ51" i="27"/>
  <c r="AI51" i="27"/>
  <c r="AH51" i="27" s="1"/>
  <c r="AG51" i="27"/>
  <c r="AF51" i="27"/>
  <c r="AE51" i="27"/>
  <c r="AC51" i="27"/>
  <c r="AB51" i="27"/>
  <c r="AA51" i="27"/>
  <c r="Z51" i="27"/>
  <c r="Y51" i="27"/>
  <c r="X51" i="27"/>
  <c r="V51" i="27"/>
  <c r="U51" i="27"/>
  <c r="S51" i="27"/>
  <c r="R51" i="27"/>
  <c r="Q51" i="27"/>
  <c r="O51" i="27"/>
  <c r="N51" i="27"/>
  <c r="M51" i="27"/>
  <c r="J51" i="27"/>
  <c r="I51" i="27"/>
  <c r="AH50" i="27"/>
  <c r="AD50" i="27"/>
  <c r="T50" i="27"/>
  <c r="G50" i="27"/>
  <c r="F50" i="27"/>
  <c r="E50" i="27"/>
  <c r="AH49" i="27"/>
  <c r="AD49" i="27"/>
  <c r="T49" i="27"/>
  <c r="P49" i="27"/>
  <c r="G49" i="27"/>
  <c r="F49" i="27"/>
  <c r="E49" i="27"/>
  <c r="AH48" i="27"/>
  <c r="AD48" i="27"/>
  <c r="T48" i="27"/>
  <c r="P48" i="27"/>
  <c r="G48" i="27"/>
  <c r="F48" i="27"/>
  <c r="E48" i="27"/>
  <c r="AH47" i="27"/>
  <c r="AD47" i="27"/>
  <c r="T47" i="27"/>
  <c r="P47" i="27"/>
  <c r="G47" i="27"/>
  <c r="F47" i="27"/>
  <c r="E47" i="27"/>
  <c r="AH46" i="27"/>
  <c r="AD46" i="27"/>
  <c r="T46" i="27"/>
  <c r="P46" i="27"/>
  <c r="G46" i="27"/>
  <c r="F46" i="27"/>
  <c r="E46" i="27"/>
  <c r="AH45" i="27"/>
  <c r="AD45" i="27"/>
  <c r="T45" i="27"/>
  <c r="P45" i="27"/>
  <c r="G45" i="27"/>
  <c r="F45" i="27"/>
  <c r="E45" i="27"/>
  <c r="AH44" i="27"/>
  <c r="AD44" i="27"/>
  <c r="T44" i="27"/>
  <c r="P44" i="27"/>
  <c r="L44" i="27"/>
  <c r="G44" i="27"/>
  <c r="F44" i="27"/>
  <c r="E44" i="27"/>
  <c r="D44" i="27" s="1"/>
  <c r="AH43" i="27"/>
  <c r="AD43" i="27"/>
  <c r="T43" i="27"/>
  <c r="P43" i="27"/>
  <c r="L43" i="27"/>
  <c r="G43" i="27"/>
  <c r="F43" i="27"/>
  <c r="E43" i="27"/>
  <c r="AH42" i="27"/>
  <c r="AD42" i="27"/>
  <c r="T42" i="27"/>
  <c r="P42" i="27"/>
  <c r="L42" i="27"/>
  <c r="G42" i="27"/>
  <c r="F42" i="27"/>
  <c r="E42" i="27"/>
  <c r="AH41" i="27"/>
  <c r="AD41" i="27"/>
  <c r="T41" i="27"/>
  <c r="P41" i="27"/>
  <c r="L41" i="27"/>
  <c r="G41" i="27"/>
  <c r="F41" i="27"/>
  <c r="E41" i="27"/>
  <c r="AH40" i="27"/>
  <c r="AD40" i="27"/>
  <c r="T40" i="27"/>
  <c r="P40" i="27"/>
  <c r="L40" i="27"/>
  <c r="G40" i="27"/>
  <c r="F40" i="27"/>
  <c r="E40" i="27"/>
  <c r="AH39" i="27"/>
  <c r="AD39" i="27"/>
  <c r="T39" i="27"/>
  <c r="P39" i="27"/>
  <c r="L39" i="27"/>
  <c r="G39" i="27"/>
  <c r="F39" i="27"/>
  <c r="E39" i="27"/>
  <c r="AH38" i="27"/>
  <c r="AD38" i="27"/>
  <c r="T38" i="27"/>
  <c r="P38" i="27"/>
  <c r="L38" i="27"/>
  <c r="G38" i="27"/>
  <c r="F38" i="27"/>
  <c r="E38" i="27"/>
  <c r="AH37" i="27"/>
  <c r="AD37" i="27"/>
  <c r="T37" i="27"/>
  <c r="P37" i="27"/>
  <c r="L37" i="27"/>
  <c r="G37" i="27"/>
  <c r="F37" i="27"/>
  <c r="E37" i="27"/>
  <c r="D37" i="27" s="1"/>
  <c r="AH36" i="27"/>
  <c r="AD36" i="27"/>
  <c r="T36" i="27"/>
  <c r="P36" i="27"/>
  <c r="L36" i="27"/>
  <c r="G36" i="27"/>
  <c r="F36" i="27"/>
  <c r="E36" i="27"/>
  <c r="AH35" i="27"/>
  <c r="AD35" i="27"/>
  <c r="T35" i="27"/>
  <c r="P35" i="27"/>
  <c r="L35" i="27"/>
  <c r="G35" i="27"/>
  <c r="F35" i="27"/>
  <c r="E35" i="27"/>
  <c r="AH34" i="27"/>
  <c r="AD34" i="27"/>
  <c r="T34" i="27"/>
  <c r="P34" i="27"/>
  <c r="L34" i="27"/>
  <c r="G34" i="27"/>
  <c r="F34" i="27"/>
  <c r="E34" i="27"/>
  <c r="AH33" i="27"/>
  <c r="AD33" i="27"/>
  <c r="T33" i="27"/>
  <c r="P33" i="27"/>
  <c r="L33" i="27"/>
  <c r="H33" i="27"/>
  <c r="G33" i="27"/>
  <c r="F33" i="27"/>
  <c r="E33" i="27"/>
  <c r="AH32" i="27"/>
  <c r="AD32" i="27"/>
  <c r="T32" i="27"/>
  <c r="P32" i="27"/>
  <c r="L32" i="27"/>
  <c r="H32" i="27"/>
  <c r="G32" i="27"/>
  <c r="F32" i="27"/>
  <c r="E32" i="27"/>
  <c r="AH31" i="27"/>
  <c r="AD31" i="27"/>
  <c r="T31" i="27"/>
  <c r="P31" i="27"/>
  <c r="L31" i="27"/>
  <c r="H31" i="27"/>
  <c r="G31" i="27"/>
  <c r="F31" i="27"/>
  <c r="E31" i="27"/>
  <c r="AH30" i="27"/>
  <c r="AD30" i="27"/>
  <c r="T30" i="27"/>
  <c r="P30" i="27"/>
  <c r="L30" i="27"/>
  <c r="G30" i="27"/>
  <c r="F30" i="27"/>
  <c r="E30" i="27"/>
  <c r="AH29" i="27"/>
  <c r="AD29" i="27"/>
  <c r="T29" i="27"/>
  <c r="P29" i="27"/>
  <c r="L29" i="27"/>
  <c r="G29" i="27"/>
  <c r="F29" i="27"/>
  <c r="E29" i="27"/>
  <c r="AH28" i="27"/>
  <c r="AD28" i="27"/>
  <c r="T28" i="27"/>
  <c r="P28" i="27"/>
  <c r="L28" i="27"/>
  <c r="G28" i="27"/>
  <c r="F28" i="27"/>
  <c r="E28" i="27"/>
  <c r="AH27" i="27"/>
  <c r="AD27" i="27"/>
  <c r="T27" i="27"/>
  <c r="P27" i="27"/>
  <c r="N27" i="27"/>
  <c r="N21" i="27" s="1"/>
  <c r="G27" i="27"/>
  <c r="E27" i="27"/>
  <c r="AH26" i="27"/>
  <c r="AD26" i="27"/>
  <c r="T26" i="27"/>
  <c r="P26" i="27"/>
  <c r="L26" i="27"/>
  <c r="G26" i="27"/>
  <c r="F26" i="27"/>
  <c r="E26" i="27"/>
  <c r="AH25" i="27"/>
  <c r="AD25" i="27"/>
  <c r="T25" i="27"/>
  <c r="P25" i="27"/>
  <c r="L25" i="27"/>
  <c r="G25" i="27"/>
  <c r="F25" i="27"/>
  <c r="E25" i="27"/>
  <c r="AH24" i="27"/>
  <c r="AD24" i="27"/>
  <c r="T24" i="27"/>
  <c r="P24" i="27"/>
  <c r="L24" i="27"/>
  <c r="G24" i="27"/>
  <c r="F24" i="27"/>
  <c r="E24" i="27"/>
  <c r="AH23" i="27"/>
  <c r="AD23" i="27"/>
  <c r="T23" i="27"/>
  <c r="P23" i="27"/>
  <c r="L23" i="27"/>
  <c r="G23" i="27"/>
  <c r="F23" i="27"/>
  <c r="E23" i="27"/>
  <c r="AH22" i="27"/>
  <c r="AD22" i="27"/>
  <c r="T22" i="27"/>
  <c r="P22" i="27"/>
  <c r="L22" i="27"/>
  <c r="G22" i="27"/>
  <c r="F22" i="27"/>
  <c r="E22" i="27"/>
  <c r="AO21" i="27"/>
  <c r="AN21" i="27"/>
  <c r="AM21" i="27"/>
  <c r="AK21" i="27"/>
  <c r="AJ21" i="27"/>
  <c r="AI21" i="27"/>
  <c r="AG21" i="27"/>
  <c r="AF21" i="27"/>
  <c r="AF20" i="27" s="1"/>
  <c r="AE21" i="27"/>
  <c r="Z21" i="27"/>
  <c r="W21" i="27"/>
  <c r="V21" i="27"/>
  <c r="U21" i="27"/>
  <c r="S21" i="27"/>
  <c r="R21" i="27"/>
  <c r="Q21" i="27"/>
  <c r="O21" i="27"/>
  <c r="M21" i="27"/>
  <c r="K21" i="27"/>
  <c r="J21" i="27"/>
  <c r="J19" i="27" s="1"/>
  <c r="I21" i="27"/>
  <c r="AD18" i="27"/>
  <c r="AL17" i="27"/>
  <c r="AD17" i="27"/>
  <c r="P17" i="27"/>
  <c r="G17" i="27"/>
  <c r="F17" i="27"/>
  <c r="E17" i="27"/>
  <c r="AL16" i="27"/>
  <c r="AH16" i="27"/>
  <c r="AD16" i="27"/>
  <c r="T16" i="27"/>
  <c r="P16" i="27"/>
  <c r="G16" i="27"/>
  <c r="F16" i="27"/>
  <c r="E16" i="27"/>
  <c r="AL15" i="27"/>
  <c r="AH15" i="27"/>
  <c r="AD15" i="27"/>
  <c r="T15" i="27"/>
  <c r="P15" i="27"/>
  <c r="G15" i="27"/>
  <c r="F15" i="27"/>
  <c r="E15" i="27"/>
  <c r="AL14" i="27"/>
  <c r="AH14" i="27"/>
  <c r="AD14" i="27"/>
  <c r="T14" i="27"/>
  <c r="P14" i="27"/>
  <c r="G14" i="27"/>
  <c r="F14" i="27"/>
  <c r="E14" i="27"/>
  <c r="AL13" i="27"/>
  <c r="AH13" i="27"/>
  <c r="AD13" i="27"/>
  <c r="T13" i="27"/>
  <c r="L13" i="27"/>
  <c r="H13" i="27"/>
  <c r="G13" i="27"/>
  <c r="F13" i="27"/>
  <c r="E13" i="27"/>
  <c r="AL12" i="27"/>
  <c r="AH12" i="27"/>
  <c r="AD12" i="27"/>
  <c r="T12" i="27"/>
  <c r="P12" i="27"/>
  <c r="L12" i="27"/>
  <c r="H12" i="27"/>
  <c r="G12" i="27"/>
  <c r="F12" i="27"/>
  <c r="E12" i="27"/>
  <c r="AL11" i="27"/>
  <c r="AH11" i="27"/>
  <c r="AD11" i="27"/>
  <c r="P11" i="27"/>
  <c r="H11" i="27"/>
  <c r="G11" i="27"/>
  <c r="F11" i="27"/>
  <c r="E11" i="27"/>
  <c r="AL10" i="27"/>
  <c r="AH10" i="27"/>
  <c r="AD10" i="27"/>
  <c r="T10" i="27"/>
  <c r="P10" i="27"/>
  <c r="L10" i="27"/>
  <c r="H10" i="27"/>
  <c r="G10" i="27"/>
  <c r="F10" i="27"/>
  <c r="E10" i="27"/>
  <c r="AL9" i="27"/>
  <c r="AH9" i="27"/>
  <c r="AD9" i="27"/>
  <c r="T9" i="27"/>
  <c r="P9" i="27"/>
  <c r="L9" i="27"/>
  <c r="L8" i="27" s="1"/>
  <c r="L7" i="27" s="1"/>
  <c r="H9" i="27"/>
  <c r="G9" i="27"/>
  <c r="F9" i="27"/>
  <c r="E9" i="27"/>
  <c r="AO8" i="27"/>
  <c r="AN8" i="27"/>
  <c r="AM8" i="27"/>
  <c r="AK8" i="27"/>
  <c r="AK7" i="27" s="1"/>
  <c r="AJ8" i="27"/>
  <c r="AJ7" i="27" s="1"/>
  <c r="AI8" i="27"/>
  <c r="AG8" i="27"/>
  <c r="AG7" i="27" s="1"/>
  <c r="AF8" i="27"/>
  <c r="AF7" i="27" s="1"/>
  <c r="AE8" i="27"/>
  <c r="AE7" i="27" s="1"/>
  <c r="W8" i="27"/>
  <c r="W7" i="27" s="1"/>
  <c r="V8" i="27"/>
  <c r="V7" i="27" s="1"/>
  <c r="U8" i="27"/>
  <c r="U7" i="27" s="1"/>
  <c r="S8" i="27"/>
  <c r="S7" i="27" s="1"/>
  <c r="R8" i="27"/>
  <c r="Q8" i="27"/>
  <c r="O8" i="27"/>
  <c r="O7" i="27" s="1"/>
  <c r="N8" i="27"/>
  <c r="N7" i="27" s="1"/>
  <c r="M8" i="27"/>
  <c r="M7" i="27" s="1"/>
  <c r="K8" i="27"/>
  <c r="J8" i="27"/>
  <c r="J7" i="27" s="1"/>
  <c r="I8" i="27"/>
  <c r="I7" i="27" s="1"/>
  <c r="AO7" i="27"/>
  <c r="AN7" i="27"/>
  <c r="AI7" i="27"/>
  <c r="R7" i="27"/>
  <c r="D183" i="27" l="1"/>
  <c r="P135" i="27"/>
  <c r="T182" i="27"/>
  <c r="D191" i="27"/>
  <c r="AL51" i="27"/>
  <c r="H83" i="27"/>
  <c r="G135" i="27"/>
  <c r="I188" i="27"/>
  <c r="E188" i="27" s="1"/>
  <c r="T189" i="27"/>
  <c r="AD142" i="27"/>
  <c r="G8" i="27"/>
  <c r="G7" i="27" s="1"/>
  <c r="J6" i="27"/>
  <c r="K7" i="27"/>
  <c r="AF19" i="27"/>
  <c r="H21" i="27"/>
  <c r="P21" i="27"/>
  <c r="L27" i="27"/>
  <c r="D48" i="27"/>
  <c r="F135" i="27"/>
  <c r="D135" i="27" s="1"/>
  <c r="W142" i="27"/>
  <c r="G142" i="27" s="1"/>
  <c r="G189" i="27"/>
  <c r="L189" i="27"/>
  <c r="E134" i="27"/>
  <c r="G184" i="27"/>
  <c r="AD188" i="27"/>
  <c r="AL188" i="27"/>
  <c r="AL203" i="27"/>
  <c r="T21" i="27"/>
  <c r="D95" i="27"/>
  <c r="G134" i="27"/>
  <c r="E142" i="27"/>
  <c r="F189" i="27"/>
  <c r="D189" i="27" s="1"/>
  <c r="AH189" i="27"/>
  <c r="D193" i="27"/>
  <c r="D197" i="27"/>
  <c r="V20" i="27"/>
  <c r="D47" i="27"/>
  <c r="D46" i="27"/>
  <c r="D50" i="27"/>
  <c r="D73" i="27"/>
  <c r="D94" i="27"/>
  <c r="D153" i="27"/>
  <c r="D155" i="27"/>
  <c r="D45" i="27"/>
  <c r="D49" i="27"/>
  <c r="D57" i="27"/>
  <c r="D63" i="27"/>
  <c r="D96" i="27"/>
  <c r="D106" i="27"/>
  <c r="D176" i="27"/>
  <c r="D138" i="27"/>
  <c r="D25" i="27"/>
  <c r="D26" i="27"/>
  <c r="D30" i="27"/>
  <c r="D119" i="27"/>
  <c r="D124" i="27"/>
  <c r="D140" i="27"/>
  <c r="D110" i="27"/>
  <c r="D112" i="27"/>
  <c r="D115" i="27"/>
  <c r="D126" i="27"/>
  <c r="D35" i="27"/>
  <c r="D59" i="27"/>
  <c r="D81" i="27"/>
  <c r="D102" i="27"/>
  <c r="D132" i="27"/>
  <c r="D137" i="27"/>
  <c r="D147" i="27"/>
  <c r="D148" i="27"/>
  <c r="D150" i="27"/>
  <c r="D23" i="27"/>
  <c r="D55" i="27"/>
  <c r="D69" i="27"/>
  <c r="D71" i="27"/>
  <c r="D72" i="27"/>
  <c r="D100" i="27"/>
  <c r="D111" i="27"/>
  <c r="D128" i="27"/>
  <c r="D130" i="27"/>
  <c r="D136" i="27"/>
  <c r="D139" i="27"/>
  <c r="D157" i="27"/>
  <c r="D160" i="27"/>
  <c r="D162" i="27"/>
  <c r="D168" i="27"/>
  <c r="D172" i="27"/>
  <c r="D174" i="27"/>
  <c r="D10" i="27"/>
  <c r="D76" i="27"/>
  <c r="D88" i="27"/>
  <c r="D97" i="27"/>
  <c r="D117" i="27"/>
  <c r="D118" i="27"/>
  <c r="D131" i="27"/>
  <c r="D146" i="27"/>
  <c r="F188" i="27"/>
  <c r="D199" i="27"/>
  <c r="N20" i="27"/>
  <c r="N19" i="27"/>
  <c r="N6" i="27" s="1"/>
  <c r="F8" i="27"/>
  <c r="F7" i="27" s="1"/>
  <c r="D15" i="27"/>
  <c r="AF6" i="27"/>
  <c r="F21" i="27"/>
  <c r="D39" i="27"/>
  <c r="K51" i="27"/>
  <c r="K19" i="27" s="1"/>
  <c r="D80" i="27"/>
  <c r="D91" i="27"/>
  <c r="D93" i="27"/>
  <c r="D103" i="27"/>
  <c r="D105" i="27"/>
  <c r="D127" i="27"/>
  <c r="AL134" i="27"/>
  <c r="F142" i="27"/>
  <c r="AD189" i="27"/>
  <c r="P189" i="27"/>
  <c r="P188" i="27" s="1"/>
  <c r="T188" i="27"/>
  <c r="P8" i="27"/>
  <c r="P7" i="27" s="1"/>
  <c r="AL8" i="27"/>
  <c r="D12" i="27"/>
  <c r="J20" i="27"/>
  <c r="F27" i="27"/>
  <c r="D27" i="27" s="1"/>
  <c r="D29" i="27"/>
  <c r="D34" i="27"/>
  <c r="D54" i="27"/>
  <c r="D56" i="27"/>
  <c r="D61" i="27"/>
  <c r="D64" i="27"/>
  <c r="D75" i="27"/>
  <c r="D77" i="27"/>
  <c r="D87" i="27"/>
  <c r="D101" i="27"/>
  <c r="D121" i="27"/>
  <c r="D123" i="27"/>
  <c r="D125" i="27"/>
  <c r="AJ19" i="27"/>
  <c r="AJ6" i="27" s="1"/>
  <c r="D143" i="27"/>
  <c r="D145" i="27"/>
  <c r="D156" i="27"/>
  <c r="D158" i="27"/>
  <c r="D164" i="27"/>
  <c r="D170" i="27"/>
  <c r="AH182" i="27"/>
  <c r="W188" i="27"/>
  <c r="AK188" i="27"/>
  <c r="AH188" i="27" s="1"/>
  <c r="D200" i="27"/>
  <c r="AH7" i="27"/>
  <c r="H8" i="27"/>
  <c r="H7" i="27" s="1"/>
  <c r="F51" i="27"/>
  <c r="D17" i="27"/>
  <c r="D41" i="27"/>
  <c r="D43" i="27"/>
  <c r="D70" i="27"/>
  <c r="R20" i="27"/>
  <c r="P142" i="27"/>
  <c r="D165" i="27"/>
  <c r="P182" i="27"/>
  <c r="E8" i="27"/>
  <c r="E7" i="27" s="1"/>
  <c r="AH8" i="27"/>
  <c r="D13" i="27"/>
  <c r="D24" i="27"/>
  <c r="D28" i="27"/>
  <c r="D31" i="27"/>
  <c r="D36" i="27"/>
  <c r="G52" i="27"/>
  <c r="D52" i="27" s="1"/>
  <c r="H54" i="27"/>
  <c r="D60" i="27"/>
  <c r="D62" i="27"/>
  <c r="D65" i="27"/>
  <c r="D83" i="27"/>
  <c r="D84" i="27"/>
  <c r="D86" i="27"/>
  <c r="D89" i="27"/>
  <c r="D99" i="27"/>
  <c r="D116" i="27"/>
  <c r="AD134" i="27"/>
  <c r="AL142" i="27"/>
  <c r="D154" i="27"/>
  <c r="T156" i="27"/>
  <c r="D163" i="27"/>
  <c r="D169" i="27"/>
  <c r="D175" i="27"/>
  <c r="AD182" i="27"/>
  <c r="F184" i="27"/>
  <c r="AL184" i="27"/>
  <c r="D186" i="27"/>
  <c r="D192" i="27"/>
  <c r="D196" i="27"/>
  <c r="D198" i="27"/>
  <c r="L188" i="27"/>
  <c r="T187" i="27"/>
  <c r="D187" i="27"/>
  <c r="AD21" i="27"/>
  <c r="E21" i="27"/>
  <c r="AE20" i="27"/>
  <c r="AE19" i="27"/>
  <c r="AO20" i="27"/>
  <c r="AO19" i="27"/>
  <c r="AO6" i="27" s="1"/>
  <c r="I20" i="27"/>
  <c r="I19" i="27"/>
  <c r="AD7" i="27"/>
  <c r="AJ20" i="27"/>
  <c r="R19" i="27"/>
  <c r="R6" i="27" s="1"/>
  <c r="AN19" i="27"/>
  <c r="AN6" i="27" s="1"/>
  <c r="AN20" i="27"/>
  <c r="G21" i="27"/>
  <c r="AG20" i="27"/>
  <c r="AG19" i="27"/>
  <c r="AG6" i="27" s="1"/>
  <c r="AL21" i="27"/>
  <c r="AM20" i="27"/>
  <c r="AM19" i="27"/>
  <c r="D32" i="27"/>
  <c r="D38" i="27"/>
  <c r="K20" i="27"/>
  <c r="P51" i="27"/>
  <c r="Q20" i="27"/>
  <c r="Q19" i="27"/>
  <c r="AD51" i="27"/>
  <c r="D53" i="27"/>
  <c r="H68" i="27"/>
  <c r="G68" i="27"/>
  <c r="D68" i="27" s="1"/>
  <c r="D82" i="27"/>
  <c r="D92" i="27"/>
  <c r="D122" i="27"/>
  <c r="T134" i="27"/>
  <c r="AH134" i="27"/>
  <c r="D161" i="27"/>
  <c r="T166" i="27"/>
  <c r="G166" i="27"/>
  <c r="D166" i="27" s="1"/>
  <c r="P184" i="27"/>
  <c r="E184" i="27"/>
  <c r="D184" i="27" s="1"/>
  <c r="S20" i="27"/>
  <c r="S19" i="27"/>
  <c r="S6" i="27" s="1"/>
  <c r="P134" i="27"/>
  <c r="F134" i="27"/>
  <c r="D134" i="27" s="1"/>
  <c r="L21" i="27"/>
  <c r="AD8" i="27"/>
  <c r="Q7" i="27"/>
  <c r="AM7" i="27"/>
  <c r="T8" i="27"/>
  <c r="T7" i="27" s="1"/>
  <c r="D11" i="27"/>
  <c r="D14" i="27"/>
  <c r="V19" i="27"/>
  <c r="V6" i="27" s="1"/>
  <c r="D42" i="27"/>
  <c r="E51" i="27"/>
  <c r="D67" i="27"/>
  <c r="D78" i="27"/>
  <c r="D85" i="27"/>
  <c r="D104" i="27"/>
  <c r="D108" i="27"/>
  <c r="D114" i="27"/>
  <c r="D151" i="27"/>
  <c r="G152" i="27"/>
  <c r="D152" i="27" s="1"/>
  <c r="T152" i="27"/>
  <c r="D171" i="27"/>
  <c r="T177" i="27"/>
  <c r="G177" i="27"/>
  <c r="D177" i="27" s="1"/>
  <c r="AD184" i="27"/>
  <c r="D190" i="27"/>
  <c r="D194" i="27"/>
  <c r="D201" i="27"/>
  <c r="AN202" i="27"/>
  <c r="AL202" i="27" s="1"/>
  <c r="D16" i="27"/>
  <c r="AK20" i="27"/>
  <c r="D22" i="27"/>
  <c r="D33" i="27"/>
  <c r="D40" i="27"/>
  <c r="O20" i="27"/>
  <c r="O19" i="27"/>
  <c r="O6" i="27" s="1"/>
  <c r="T51" i="27"/>
  <c r="U20" i="27"/>
  <c r="U19" i="27"/>
  <c r="D58" i="27"/>
  <c r="D66" i="27"/>
  <c r="D74" i="27"/>
  <c r="D79" i="27"/>
  <c r="D90" i="27"/>
  <c r="D98" i="27"/>
  <c r="D109" i="27"/>
  <c r="D113" i="27"/>
  <c r="D120" i="27"/>
  <c r="D133" i="27"/>
  <c r="D141" i="27"/>
  <c r="D144" i="27"/>
  <c r="D149" i="27"/>
  <c r="D159" i="27"/>
  <c r="D167" i="27"/>
  <c r="D173" i="27"/>
  <c r="T184" i="27"/>
  <c r="D185" i="27"/>
  <c r="D195" i="27"/>
  <c r="D9" i="27"/>
  <c r="AH21" i="27"/>
  <c r="AI20" i="27"/>
  <c r="AI19" i="27"/>
  <c r="AI6" i="27" s="1"/>
  <c r="M20" i="27"/>
  <c r="L20" i="27" s="1"/>
  <c r="M19" i="27"/>
  <c r="M6" i="27" s="1"/>
  <c r="L51" i="27"/>
  <c r="D205" i="27"/>
  <c r="D204" i="27" s="1"/>
  <c r="E204" i="27"/>
  <c r="E203" i="27" s="1"/>
  <c r="D203" i="27" s="1"/>
  <c r="G188" i="27" l="1"/>
  <c r="D188" i="27" s="1"/>
  <c r="AK19" i="27"/>
  <c r="AK6" i="27" s="1"/>
  <c r="AH6" i="27" s="1"/>
  <c r="D8" i="27"/>
  <c r="D7" i="27" s="1"/>
  <c r="D142" i="27"/>
  <c r="F20" i="27"/>
  <c r="G51" i="27"/>
  <c r="D51" i="27" s="1"/>
  <c r="AH20" i="27"/>
  <c r="L19" i="27"/>
  <c r="L6" i="27" s="1"/>
  <c r="H51" i="27"/>
  <c r="H19" i="27" s="1"/>
  <c r="H6" i="27" s="1"/>
  <c r="AL19" i="27"/>
  <c r="F6" i="27"/>
  <c r="AD19" i="27"/>
  <c r="W20" i="27"/>
  <c r="T20" i="27" s="1"/>
  <c r="T142" i="27"/>
  <c r="W19" i="27"/>
  <c r="W6" i="27" s="1"/>
  <c r="AL7" i="27"/>
  <c r="AM6" i="27"/>
  <c r="AL6" i="27" s="1"/>
  <c r="K6" i="27"/>
  <c r="Q6" i="27"/>
  <c r="P6" i="27" s="1"/>
  <c r="P20" i="27"/>
  <c r="AL20" i="27"/>
  <c r="AE6" i="27"/>
  <c r="AD6" i="27" s="1"/>
  <c r="P19" i="27"/>
  <c r="E20" i="27"/>
  <c r="H20" i="27"/>
  <c r="AD20" i="27"/>
  <c r="E19" i="27"/>
  <c r="I6" i="27"/>
  <c r="U6" i="27"/>
  <c r="F19" i="27"/>
  <c r="D21" i="27"/>
  <c r="AH19" i="27" l="1"/>
  <c r="E6" i="27"/>
  <c r="G20" i="27"/>
  <c r="D20" i="27" s="1"/>
  <c r="T6" i="27"/>
  <c r="T19" i="27"/>
  <c r="G6" i="27"/>
  <c r="D6" i="27" s="1"/>
  <c r="G19" i="27"/>
  <c r="D19" i="27" s="1"/>
  <c r="AI88" i="22" l="1"/>
  <c r="AE88" i="22"/>
  <c r="Y88" i="22"/>
  <c r="Q88" i="22"/>
  <c r="H88" i="22"/>
  <c r="G88" i="22"/>
  <c r="F88" i="22"/>
  <c r="AI87" i="22"/>
  <c r="AE87" i="22"/>
  <c r="Y87" i="22"/>
  <c r="Q87" i="22"/>
  <c r="H87" i="22"/>
  <c r="F87" i="22"/>
  <c r="AI86" i="22"/>
  <c r="AE86" i="22"/>
  <c r="Y86" i="22"/>
  <c r="Q86" i="22"/>
  <c r="H86" i="22"/>
  <c r="F86" i="22"/>
  <c r="AI85" i="22"/>
  <c r="AE85" i="22"/>
  <c r="Y85" i="22"/>
  <c r="Q85" i="22"/>
  <c r="H85" i="22"/>
  <c r="F85" i="22"/>
  <c r="AI84" i="22"/>
  <c r="AE84" i="22"/>
  <c r="Y84" i="22"/>
  <c r="Q84" i="22"/>
  <c r="H84" i="22"/>
  <c r="G84" i="22"/>
  <c r="F84" i="22"/>
  <c r="AI83" i="22"/>
  <c r="AE83" i="22"/>
  <c r="Y83" i="22"/>
  <c r="Q83" i="22"/>
  <c r="K83" i="22"/>
  <c r="H83" i="22"/>
  <c r="F83" i="22"/>
  <c r="AI82" i="22"/>
  <c r="AE82" i="22"/>
  <c r="Y82" i="22"/>
  <c r="Q82" i="22"/>
  <c r="H82" i="22"/>
  <c r="G82" i="22"/>
  <c r="F82" i="22"/>
  <c r="AI81" i="22"/>
  <c r="AE81" i="22"/>
  <c r="Y81" i="22"/>
  <c r="U81" i="22"/>
  <c r="Q81" i="22"/>
  <c r="M81" i="22"/>
  <c r="K81" i="22"/>
  <c r="H81" i="22"/>
  <c r="F81" i="22"/>
  <c r="AI80" i="22"/>
  <c r="AE80" i="22"/>
  <c r="AB80" i="22"/>
  <c r="AA80" i="22"/>
  <c r="AA79" i="22" s="1"/>
  <c r="Z80" i="22"/>
  <c r="X80" i="22"/>
  <c r="X79" i="22" s="1"/>
  <c r="W80" i="22"/>
  <c r="W79" i="22" s="1"/>
  <c r="V80" i="22"/>
  <c r="S80" i="22"/>
  <c r="S79" i="22" s="1"/>
  <c r="R80" i="22"/>
  <c r="R79" i="22" s="1"/>
  <c r="P80" i="22"/>
  <c r="O80" i="22"/>
  <c r="O79" i="22" s="1"/>
  <c r="N80" i="22"/>
  <c r="L80" i="22"/>
  <c r="H80" i="22" s="1"/>
  <c r="AL79" i="22"/>
  <c r="AI79" i="22" s="1"/>
  <c r="AH79" i="22"/>
  <c r="AG79" i="22"/>
  <c r="AF79" i="22"/>
  <c r="AB79" i="22"/>
  <c r="Z79" i="22"/>
  <c r="T79" i="22"/>
  <c r="P79" i="22"/>
  <c r="N79" i="22"/>
  <c r="J79" i="22"/>
  <c r="AI78" i="22"/>
  <c r="AE78" i="22"/>
  <c r="Y78" i="22"/>
  <c r="X78" i="22"/>
  <c r="U78" i="22" s="1"/>
  <c r="Q78" i="22"/>
  <c r="M78" i="22"/>
  <c r="I78" i="22"/>
  <c r="G78" i="22"/>
  <c r="F78" i="22"/>
  <c r="AI77" i="22"/>
  <c r="AE77" i="22"/>
  <c r="Y77" i="22"/>
  <c r="U77" i="22"/>
  <c r="Q77" i="22"/>
  <c r="M77" i="22"/>
  <c r="I77" i="22"/>
  <c r="H77" i="22"/>
  <c r="G77" i="22"/>
  <c r="F77" i="22"/>
  <c r="AI76" i="22"/>
  <c r="AE76" i="22"/>
  <c r="Y76" i="22"/>
  <c r="X76" i="22"/>
  <c r="U76" i="22" s="1"/>
  <c r="Q76" i="22"/>
  <c r="M76" i="22"/>
  <c r="I76" i="22"/>
  <c r="G76" i="22"/>
  <c r="F76" i="22"/>
  <c r="AI75" i="22"/>
  <c r="AE75" i="22"/>
  <c r="Y75" i="22"/>
  <c r="U75" i="22"/>
  <c r="Q75" i="22"/>
  <c r="M75" i="22"/>
  <c r="I75" i="22"/>
  <c r="H75" i="22"/>
  <c r="G75" i="22"/>
  <c r="F75" i="22"/>
  <c r="AI74" i="22"/>
  <c r="Y74" i="22"/>
  <c r="U74" i="22"/>
  <c r="H74" i="22"/>
  <c r="G74" i="22"/>
  <c r="F74" i="22"/>
  <c r="E74" i="22" s="1"/>
  <c r="AI73" i="22"/>
  <c r="Y73" i="22"/>
  <c r="X73" i="22"/>
  <c r="H73" i="22" s="1"/>
  <c r="G73" i="22"/>
  <c r="E73" i="22" s="1"/>
  <c r="F73" i="22"/>
  <c r="AL72" i="22"/>
  <c r="AL70" i="22" s="1"/>
  <c r="AL68" i="22" s="1"/>
  <c r="AL67" i="22" s="1"/>
  <c r="AK72" i="22"/>
  <c r="AH72" i="22"/>
  <c r="AG72" i="22"/>
  <c r="AB72" i="22"/>
  <c r="AB70" i="22" s="1"/>
  <c r="AB68" i="22" s="1"/>
  <c r="AB67" i="22" s="1"/>
  <c r="AA72" i="22"/>
  <c r="X72" i="22"/>
  <c r="U72" i="22" s="1"/>
  <c r="W72" i="22"/>
  <c r="Q72" i="22"/>
  <c r="M72" i="22"/>
  <c r="I72" i="22"/>
  <c r="F72" i="22"/>
  <c r="AI71" i="22"/>
  <c r="AE71" i="22"/>
  <c r="Y71" i="22"/>
  <c r="X71" i="22"/>
  <c r="Q71" i="22"/>
  <c r="M71" i="22"/>
  <c r="I71" i="22"/>
  <c r="G71" i="22"/>
  <c r="F71" i="22"/>
  <c r="AG70" i="22"/>
  <c r="Z70" i="22"/>
  <c r="W70" i="22"/>
  <c r="V70" i="22"/>
  <c r="T70" i="22"/>
  <c r="T68" i="22" s="1"/>
  <c r="T67" i="22" s="1"/>
  <c r="S70" i="22"/>
  <c r="S68" i="22" s="1"/>
  <c r="S67" i="22" s="1"/>
  <c r="R70" i="22"/>
  <c r="P70" i="22"/>
  <c r="P68" i="22" s="1"/>
  <c r="P67" i="22" s="1"/>
  <c r="O70" i="22"/>
  <c r="O68" i="22" s="1"/>
  <c r="O67" i="22" s="1"/>
  <c r="N70" i="22"/>
  <c r="N68" i="22" s="1"/>
  <c r="N67" i="22" s="1"/>
  <c r="L70" i="22"/>
  <c r="K70" i="22"/>
  <c r="K68" i="22" s="1"/>
  <c r="K67" i="22" s="1"/>
  <c r="J70" i="22"/>
  <c r="AI69" i="22"/>
  <c r="AE69" i="22"/>
  <c r="Y69" i="22"/>
  <c r="X69" i="22"/>
  <c r="U69" i="22"/>
  <c r="Q69" i="22"/>
  <c r="M69" i="22"/>
  <c r="I69" i="22"/>
  <c r="H69" i="22"/>
  <c r="G69" i="22"/>
  <c r="F69" i="22"/>
  <c r="AJ68" i="22"/>
  <c r="AJ67" i="22" s="1"/>
  <c r="AF68" i="22"/>
  <c r="W68" i="22"/>
  <c r="W67" i="22" s="1"/>
  <c r="V68" i="22"/>
  <c r="V67" i="22" s="1"/>
  <c r="AF67" i="22"/>
  <c r="AI66" i="22"/>
  <c r="AE66" i="22"/>
  <c r="Y66" i="22"/>
  <c r="X66" i="22"/>
  <c r="Q66" i="22"/>
  <c r="M66" i="22"/>
  <c r="I66" i="22"/>
  <c r="G66" i="22"/>
  <c r="F66" i="22"/>
  <c r="AI65" i="22"/>
  <c r="AE65" i="22"/>
  <c r="Y65" i="22"/>
  <c r="U65" i="22"/>
  <c r="Q65" i="22"/>
  <c r="M65" i="22"/>
  <c r="I65" i="22"/>
  <c r="H65" i="22"/>
  <c r="G65" i="22"/>
  <c r="F65" i="22"/>
  <c r="AH64" i="22"/>
  <c r="AH63" i="22" s="1"/>
  <c r="AH62" i="22" s="1"/>
  <c r="AG64" i="22"/>
  <c r="AF64" i="22"/>
  <c r="AF63" i="22" s="1"/>
  <c r="AF62" i="22" s="1"/>
  <c r="AB64" i="22"/>
  <c r="AB63" i="22" s="1"/>
  <c r="AB62" i="22" s="1"/>
  <c r="AA64" i="22"/>
  <c r="Z64" i="22"/>
  <c r="Z63" i="22" s="1"/>
  <c r="Z62" i="22" s="1"/>
  <c r="W64" i="22"/>
  <c r="V64" i="22"/>
  <c r="V63" i="22" s="1"/>
  <c r="V62" i="22" s="1"/>
  <c r="T64" i="22"/>
  <c r="T63" i="22" s="1"/>
  <c r="T62" i="22" s="1"/>
  <c r="S64" i="22"/>
  <c r="R64" i="22"/>
  <c r="R63" i="22" s="1"/>
  <c r="R62" i="22" s="1"/>
  <c r="P64" i="22"/>
  <c r="P63" i="22" s="1"/>
  <c r="P62" i="22" s="1"/>
  <c r="O64" i="22"/>
  <c r="N64" i="22"/>
  <c r="N63" i="22" s="1"/>
  <c r="N62" i="22" s="1"/>
  <c r="L64" i="22"/>
  <c r="L63" i="22" s="1"/>
  <c r="L62" i="22" s="1"/>
  <c r="K64" i="22"/>
  <c r="K63" i="22" s="1"/>
  <c r="J64" i="22"/>
  <c r="J63" i="22" s="1"/>
  <c r="AL63" i="22"/>
  <c r="AI63" i="22"/>
  <c r="AL62" i="22"/>
  <c r="AI62" i="22" s="1"/>
  <c r="AI61" i="22"/>
  <c r="AE61" i="22"/>
  <c r="Y61" i="22"/>
  <c r="U61" i="22"/>
  <c r="Q61" i="22"/>
  <c r="M61" i="22"/>
  <c r="I61" i="22"/>
  <c r="H61" i="22"/>
  <c r="G61" i="22"/>
  <c r="F61" i="22"/>
  <c r="AI60" i="22"/>
  <c r="AE60" i="22"/>
  <c r="Y60" i="22"/>
  <c r="U60" i="22"/>
  <c r="Q60" i="22"/>
  <c r="M60" i="22"/>
  <c r="I60" i="22"/>
  <c r="H60" i="22"/>
  <c r="G60" i="22"/>
  <c r="F60" i="22"/>
  <c r="AH59" i="22"/>
  <c r="AG59" i="22"/>
  <c r="AF59" i="22"/>
  <c r="AF58" i="22" s="1"/>
  <c r="AB59" i="22"/>
  <c r="AB58" i="22" s="1"/>
  <c r="AA59" i="22"/>
  <c r="Z59" i="22"/>
  <c r="Z58" i="22" s="1"/>
  <c r="X59" i="22"/>
  <c r="X58" i="22" s="1"/>
  <c r="W59" i="22"/>
  <c r="V59" i="22"/>
  <c r="T59" i="22"/>
  <c r="S59" i="22"/>
  <c r="S58" i="22" s="1"/>
  <c r="R59" i="22"/>
  <c r="P59" i="22"/>
  <c r="O59" i="22"/>
  <c r="N59" i="22"/>
  <c r="L59" i="22"/>
  <c r="L58" i="22" s="1"/>
  <c r="K59" i="22"/>
  <c r="J59" i="22"/>
  <c r="AL58" i="22"/>
  <c r="AI58" i="22" s="1"/>
  <c r="AH58" i="22"/>
  <c r="AG58" i="22"/>
  <c r="AA58" i="22"/>
  <c r="Y58" i="22" s="1"/>
  <c r="V58" i="22"/>
  <c r="T58" i="22"/>
  <c r="P58" i="22"/>
  <c r="N58" i="22"/>
  <c r="K58" i="22"/>
  <c r="J58" i="22"/>
  <c r="Q57" i="22"/>
  <c r="M57" i="22"/>
  <c r="I57" i="22"/>
  <c r="H57" i="22"/>
  <c r="F57" i="22"/>
  <c r="AI56" i="22"/>
  <c r="AE56" i="22"/>
  <c r="Y56" i="22"/>
  <c r="U56" i="22"/>
  <c r="Q56" i="22"/>
  <c r="M56" i="22"/>
  <c r="I56" i="22"/>
  <c r="H56" i="22"/>
  <c r="G56" i="22"/>
  <c r="F56" i="22"/>
  <c r="AI55" i="22"/>
  <c r="AE55" i="22"/>
  <c r="Y55" i="22"/>
  <c r="U55" i="22"/>
  <c r="Q55" i="22"/>
  <c r="M55" i="22"/>
  <c r="I55" i="22"/>
  <c r="H55" i="22"/>
  <c r="G55" i="22"/>
  <c r="F55" i="22"/>
  <c r="AI54" i="22"/>
  <c r="AE54" i="22"/>
  <c r="Y54" i="22"/>
  <c r="U54" i="22"/>
  <c r="Q54" i="22"/>
  <c r="M54" i="22"/>
  <c r="I54" i="22"/>
  <c r="H54" i="22"/>
  <c r="G54" i="22"/>
  <c r="F54" i="22"/>
  <c r="AI53" i="22"/>
  <c r="AE53" i="22"/>
  <c r="Y53" i="22"/>
  <c r="U53" i="22"/>
  <c r="Q53" i="22"/>
  <c r="M53" i="22"/>
  <c r="I53" i="22"/>
  <c r="H53" i="22"/>
  <c r="G53" i="22"/>
  <c r="F53" i="22"/>
  <c r="AI52" i="22"/>
  <c r="AE52" i="22"/>
  <c r="Y52" i="22"/>
  <c r="U52" i="22"/>
  <c r="Q52" i="22"/>
  <c r="M52" i="22"/>
  <c r="I52" i="22"/>
  <c r="H52" i="22"/>
  <c r="G52" i="22"/>
  <c r="F52" i="22"/>
  <c r="AI51" i="22"/>
  <c r="AE51" i="22"/>
  <c r="Y51" i="22"/>
  <c r="U51" i="22"/>
  <c r="Q51" i="22"/>
  <c r="M51" i="22"/>
  <c r="I51" i="22"/>
  <c r="H51" i="22"/>
  <c r="G51" i="22"/>
  <c r="F51" i="22"/>
  <c r="AI50" i="22"/>
  <c r="AE50" i="22"/>
  <c r="Y50" i="22"/>
  <c r="U50" i="22"/>
  <c r="Q50" i="22"/>
  <c r="M50" i="22"/>
  <c r="I50" i="22"/>
  <c r="H50" i="22"/>
  <c r="G50" i="22"/>
  <c r="F50" i="22"/>
  <c r="AH49" i="22"/>
  <c r="AH48" i="22" s="1"/>
  <c r="AG49" i="22"/>
  <c r="AG48" i="22" s="1"/>
  <c r="AF49" i="22"/>
  <c r="AF48" i="22" s="1"/>
  <c r="AB49" i="22"/>
  <c r="AB48" i="22" s="1"/>
  <c r="AA49" i="22"/>
  <c r="Z49" i="22"/>
  <c r="X49" i="22"/>
  <c r="X48" i="22" s="1"/>
  <c r="W49" i="22"/>
  <c r="W48" i="22" s="1"/>
  <c r="V49" i="22"/>
  <c r="V48" i="22" s="1"/>
  <c r="T49" i="22"/>
  <c r="T48" i="22" s="1"/>
  <c r="S49" i="22"/>
  <c r="S48" i="22" s="1"/>
  <c r="R49" i="22"/>
  <c r="P49" i="22"/>
  <c r="P48" i="22" s="1"/>
  <c r="O49" i="22"/>
  <c r="O48" i="22" s="1"/>
  <c r="N49" i="22"/>
  <c r="N48" i="22" s="1"/>
  <c r="L49" i="22"/>
  <c r="K49" i="22"/>
  <c r="J49" i="22"/>
  <c r="AL48" i="22"/>
  <c r="AI48" i="22" s="1"/>
  <c r="AA48" i="22"/>
  <c r="K48" i="22"/>
  <c r="AI47" i="22"/>
  <c r="AE47" i="22"/>
  <c r="Y47" i="22"/>
  <c r="AI46" i="22"/>
  <c r="AE46" i="22"/>
  <c r="Y46" i="22"/>
  <c r="U46" i="22"/>
  <c r="H46" i="22"/>
  <c r="G46" i="22"/>
  <c r="F46" i="22"/>
  <c r="AI45" i="22"/>
  <c r="AE45" i="22"/>
  <c r="Y45" i="22"/>
  <c r="U45" i="22"/>
  <c r="H45" i="22"/>
  <c r="G45" i="22"/>
  <c r="F45" i="22"/>
  <c r="AI44" i="22"/>
  <c r="AE44" i="22"/>
  <c r="Y44" i="22"/>
  <c r="U44" i="22"/>
  <c r="Q44" i="22"/>
  <c r="H44" i="22"/>
  <c r="G44" i="22"/>
  <c r="F44" i="22"/>
  <c r="AI43" i="22"/>
  <c r="AE43" i="22"/>
  <c r="Y43" i="22"/>
  <c r="U43" i="22"/>
  <c r="Q43" i="22"/>
  <c r="I43" i="22"/>
  <c r="H43" i="22"/>
  <c r="G43" i="22"/>
  <c r="F43" i="22"/>
  <c r="AI42" i="22"/>
  <c r="U42" i="22"/>
  <c r="H42" i="22"/>
  <c r="G42" i="22"/>
  <c r="F42" i="22"/>
  <c r="AI41" i="22"/>
  <c r="AE41" i="22"/>
  <c r="Y41" i="22"/>
  <c r="U41" i="22"/>
  <c r="Q41" i="22"/>
  <c r="I41" i="22"/>
  <c r="H41" i="22"/>
  <c r="G41" i="22"/>
  <c r="F41" i="22"/>
  <c r="AI40" i="22"/>
  <c r="AH40" i="22"/>
  <c r="AH38" i="22" s="1"/>
  <c r="AG40" i="22"/>
  <c r="AG38" i="22" s="1"/>
  <c r="AF40" i="22"/>
  <c r="AF38" i="22" s="1"/>
  <c r="AA40" i="22"/>
  <c r="AA38" i="22" s="1"/>
  <c r="X38" i="22"/>
  <c r="W40" i="22"/>
  <c r="W38" i="22" s="1"/>
  <c r="V40" i="22"/>
  <c r="T40" i="22"/>
  <c r="T38" i="22" s="1"/>
  <c r="S40" i="22"/>
  <c r="S38" i="22" s="1"/>
  <c r="R40" i="22"/>
  <c r="R38" i="22" s="1"/>
  <c r="P40" i="22"/>
  <c r="O40" i="22"/>
  <c r="O38" i="22" s="1"/>
  <c r="N40" i="22"/>
  <c r="L40" i="22"/>
  <c r="L38" i="22" s="1"/>
  <c r="K40" i="22"/>
  <c r="AI39" i="22"/>
  <c r="AE39" i="22"/>
  <c r="Y39" i="22"/>
  <c r="U39" i="22"/>
  <c r="Q39" i="22"/>
  <c r="M39" i="22"/>
  <c r="I39" i="22"/>
  <c r="H39" i="22"/>
  <c r="G39" i="22"/>
  <c r="F39" i="22"/>
  <c r="AL38" i="22"/>
  <c r="AL28" i="22" s="1"/>
  <c r="AK38" i="22"/>
  <c r="AJ38" i="22"/>
  <c r="AB38" i="22"/>
  <c r="Z38" i="22"/>
  <c r="V38" i="22"/>
  <c r="P38" i="22"/>
  <c r="N38" i="22"/>
  <c r="J38" i="22"/>
  <c r="AI36" i="22"/>
  <c r="U36" i="22"/>
  <c r="Q36" i="22"/>
  <c r="H36" i="22"/>
  <c r="G36" i="22"/>
  <c r="F36" i="22"/>
  <c r="AI35" i="22"/>
  <c r="AE35" i="22"/>
  <c r="Y35" i="22"/>
  <c r="U35" i="22"/>
  <c r="Q35" i="22"/>
  <c r="M35" i="22"/>
  <c r="I35" i="22"/>
  <c r="H35" i="22"/>
  <c r="G35" i="22"/>
  <c r="F35" i="22"/>
  <c r="AL34" i="22"/>
  <c r="AK34" i="22"/>
  <c r="AK28" i="22" s="1"/>
  <c r="AK27" i="22" s="1"/>
  <c r="AJ34" i="22"/>
  <c r="AH34" i="22"/>
  <c r="AG34" i="22"/>
  <c r="AF34" i="22"/>
  <c r="AB34" i="22"/>
  <c r="AA34" i="22"/>
  <c r="Z34" i="22"/>
  <c r="W34" i="22"/>
  <c r="V34" i="22"/>
  <c r="T34" i="22"/>
  <c r="S34" i="22"/>
  <c r="R34" i="22"/>
  <c r="P34" i="22"/>
  <c r="O34" i="22"/>
  <c r="N34" i="22"/>
  <c r="L34" i="22"/>
  <c r="K34" i="22"/>
  <c r="J34" i="22"/>
  <c r="AI33" i="22"/>
  <c r="AE33" i="22"/>
  <c r="U33" i="22"/>
  <c r="Q33" i="22"/>
  <c r="H33" i="22"/>
  <c r="G33" i="22"/>
  <c r="F33" i="22"/>
  <c r="AI32" i="22"/>
  <c r="AE32" i="22"/>
  <c r="U32" i="22"/>
  <c r="Q32" i="22"/>
  <c r="M32" i="22"/>
  <c r="I32" i="22"/>
  <c r="H32" i="22"/>
  <c r="G32" i="22"/>
  <c r="F32" i="22"/>
  <c r="AI31" i="22"/>
  <c r="AE31" i="22"/>
  <c r="U31" i="22"/>
  <c r="Q31" i="22"/>
  <c r="M31" i="22"/>
  <c r="I31" i="22"/>
  <c r="H31" i="22"/>
  <c r="G31" i="22"/>
  <c r="F31" i="22"/>
  <c r="AI30" i="22"/>
  <c r="AE30" i="22"/>
  <c r="U30" i="22"/>
  <c r="Q30" i="22"/>
  <c r="M30" i="22"/>
  <c r="I30" i="22"/>
  <c r="H30" i="22"/>
  <c r="G30" i="22"/>
  <c r="F30" i="22"/>
  <c r="AI29" i="22"/>
  <c r="AH29" i="22"/>
  <c r="AG29" i="22"/>
  <c r="AF29" i="22"/>
  <c r="AB29" i="22"/>
  <c r="AB28" i="22" s="1"/>
  <c r="AA29" i="22"/>
  <c r="Z29" i="22"/>
  <c r="X29" i="22"/>
  <c r="W29" i="22"/>
  <c r="V29" i="22"/>
  <c r="T29" i="22"/>
  <c r="T28" i="22" s="1"/>
  <c r="S29" i="22"/>
  <c r="R29" i="22"/>
  <c r="P29" i="22"/>
  <c r="O29" i="22"/>
  <c r="N29" i="22"/>
  <c r="L29" i="22"/>
  <c r="K29" i="22"/>
  <c r="J29" i="22"/>
  <c r="AL26" i="22"/>
  <c r="AI26" i="22" s="1"/>
  <c r="AH26" i="22"/>
  <c r="AE26" i="22" s="1"/>
  <c r="AB26" i="22"/>
  <c r="U26" i="22"/>
  <c r="G26" i="22"/>
  <c r="F26" i="22"/>
  <c r="AI25" i="22"/>
  <c r="AE25" i="22"/>
  <c r="Y25" i="22"/>
  <c r="U25" i="22"/>
  <c r="Q25" i="22"/>
  <c r="M25" i="22"/>
  <c r="I25" i="22"/>
  <c r="H25" i="22"/>
  <c r="G25" i="22"/>
  <c r="F25" i="22"/>
  <c r="AI24" i="22"/>
  <c r="AE24" i="22"/>
  <c r="Y24" i="22"/>
  <c r="U24" i="22"/>
  <c r="Q24" i="22"/>
  <c r="M24" i="22"/>
  <c r="I24" i="22"/>
  <c r="H24" i="22"/>
  <c r="G24" i="22"/>
  <c r="F24" i="22"/>
  <c r="AI23" i="22"/>
  <c r="AE23" i="22"/>
  <c r="Y23" i="22"/>
  <c r="U23" i="22"/>
  <c r="Q23" i="22"/>
  <c r="M23" i="22"/>
  <c r="I23" i="22"/>
  <c r="H23" i="22"/>
  <c r="G23" i="22"/>
  <c r="F23" i="22"/>
  <c r="AI22" i="22"/>
  <c r="AE22" i="22"/>
  <c r="Y22" i="22"/>
  <c r="U22" i="22"/>
  <c r="Q22" i="22"/>
  <c r="M22" i="22"/>
  <c r="I22" i="22"/>
  <c r="H22" i="22"/>
  <c r="G22" i="22"/>
  <c r="F22" i="22"/>
  <c r="AI21" i="22"/>
  <c r="AE21" i="22"/>
  <c r="H21" i="22"/>
  <c r="G21" i="22"/>
  <c r="F21" i="22"/>
  <c r="AI20" i="22"/>
  <c r="AE20" i="22"/>
  <c r="Y20" i="22"/>
  <c r="U20" i="22"/>
  <c r="Q20" i="22"/>
  <c r="M20" i="22"/>
  <c r="I20" i="22"/>
  <c r="H20" i="22"/>
  <c r="G20" i="22"/>
  <c r="F20" i="22"/>
  <c r="AI19" i="22"/>
  <c r="AE19" i="22"/>
  <c r="Y19" i="22"/>
  <c r="U19" i="22"/>
  <c r="Q19" i="22"/>
  <c r="M19" i="22"/>
  <c r="I19" i="22"/>
  <c r="H19" i="22"/>
  <c r="G19" i="22"/>
  <c r="F19" i="22"/>
  <c r="AI18" i="22"/>
  <c r="AE18" i="22"/>
  <c r="Y18" i="22"/>
  <c r="U18" i="22"/>
  <c r="Q18" i="22"/>
  <c r="H18" i="22"/>
  <c r="G18" i="22"/>
  <c r="F18" i="22"/>
  <c r="AL17" i="22"/>
  <c r="AH17" i="22"/>
  <c r="AB17" i="22"/>
  <c r="Z17" i="22"/>
  <c r="X17" i="22"/>
  <c r="T17" i="22"/>
  <c r="S17" i="22"/>
  <c r="M17" i="22"/>
  <c r="L17" i="22"/>
  <c r="I17" i="22" s="1"/>
  <c r="F17" i="22"/>
  <c r="AI16" i="22"/>
  <c r="AE16" i="22"/>
  <c r="U16" i="22"/>
  <c r="Q16" i="22"/>
  <c r="H16" i="22"/>
  <c r="G16" i="22"/>
  <c r="F16" i="22"/>
  <c r="AI15" i="22"/>
  <c r="AE15" i="22"/>
  <c r="Y15" i="22"/>
  <c r="U15" i="22"/>
  <c r="Q15" i="22"/>
  <c r="M15" i="22"/>
  <c r="I15" i="22"/>
  <c r="H15" i="22"/>
  <c r="G15" i="22"/>
  <c r="F15" i="22"/>
  <c r="AI14" i="22"/>
  <c r="AE14" i="22"/>
  <c r="Y14" i="22"/>
  <c r="U14" i="22"/>
  <c r="Q14" i="22"/>
  <c r="M14" i="22"/>
  <c r="I14" i="22"/>
  <c r="H14" i="22"/>
  <c r="G14" i="22"/>
  <c r="F14" i="22"/>
  <c r="AI13" i="22"/>
  <c r="AE13" i="22"/>
  <c r="Z13" i="22"/>
  <c r="X13" i="22"/>
  <c r="W13" i="22"/>
  <c r="W8" i="22" s="1"/>
  <c r="W7" i="22" s="1"/>
  <c r="V13" i="22"/>
  <c r="T13" i="22"/>
  <c r="S13" i="22"/>
  <c r="S8" i="22" s="1"/>
  <c r="S7" i="22" s="1"/>
  <c r="R13" i="22"/>
  <c r="P13" i="22"/>
  <c r="P8" i="22" s="1"/>
  <c r="P7" i="22" s="1"/>
  <c r="O13" i="22"/>
  <c r="O8" i="22" s="1"/>
  <c r="O7" i="22" s="1"/>
  <c r="N13" i="22"/>
  <c r="L13" i="22"/>
  <c r="K13" i="22"/>
  <c r="J13" i="22"/>
  <c r="AI12" i="22"/>
  <c r="AE12" i="22"/>
  <c r="Y12" i="22"/>
  <c r="U12" i="22"/>
  <c r="Q12" i="22"/>
  <c r="M12" i="22"/>
  <c r="I12" i="22"/>
  <c r="H12" i="22"/>
  <c r="G12" i="22"/>
  <c r="F12" i="22"/>
  <c r="AL11" i="22"/>
  <c r="AI11" i="22" s="1"/>
  <c r="AH11" i="22"/>
  <c r="AE11" i="22"/>
  <c r="Y11" i="22"/>
  <c r="U11" i="22"/>
  <c r="Q11" i="22"/>
  <c r="M11" i="22"/>
  <c r="I11" i="22"/>
  <c r="G11" i="22"/>
  <c r="F11" i="22"/>
  <c r="AK10" i="22"/>
  <c r="AG10" i="22"/>
  <c r="AA10" i="22"/>
  <c r="Q10" i="22"/>
  <c r="M10" i="22"/>
  <c r="I10" i="22"/>
  <c r="F10" i="22"/>
  <c r="AI9" i="22"/>
  <c r="AE9" i="22"/>
  <c r="Q9" i="22"/>
  <c r="M9" i="22"/>
  <c r="I9" i="22"/>
  <c r="G9" i="22"/>
  <c r="F9" i="22"/>
  <c r="AJ8" i="22"/>
  <c r="AJ7" i="22" s="1"/>
  <c r="AG8" i="22"/>
  <c r="AF8" i="22"/>
  <c r="AA8" i="22"/>
  <c r="AA7" i="22" s="1"/>
  <c r="K8" i="22"/>
  <c r="K7" i="22" s="1"/>
  <c r="AG7" i="22"/>
  <c r="AF7" i="22"/>
  <c r="I42" i="41"/>
  <c r="H42" i="41"/>
  <c r="G42" i="41"/>
  <c r="F42" i="41"/>
  <c r="F44" i="41" s="1"/>
  <c r="D42" i="41"/>
  <c r="C42" i="41"/>
  <c r="I41" i="41"/>
  <c r="H41" i="41"/>
  <c r="G41" i="41"/>
  <c r="F41" i="41"/>
  <c r="E41" i="41"/>
  <c r="D41" i="41"/>
  <c r="C41" i="41"/>
  <c r="I40" i="41"/>
  <c r="I39" i="41" s="1"/>
  <c r="H40" i="41"/>
  <c r="G40" i="41"/>
  <c r="F40" i="41"/>
  <c r="F46" i="41" s="1"/>
  <c r="E40" i="41"/>
  <c r="D40" i="41"/>
  <c r="C40" i="41"/>
  <c r="J36" i="41"/>
  <c r="J35" i="41"/>
  <c r="J34" i="41"/>
  <c r="I33" i="41"/>
  <c r="H33" i="41"/>
  <c r="G33" i="41"/>
  <c r="F33" i="41"/>
  <c r="J30" i="41"/>
  <c r="J29" i="41"/>
  <c r="J28" i="41"/>
  <c r="I27" i="41"/>
  <c r="H27" i="41"/>
  <c r="G27" i="41"/>
  <c r="F27" i="41"/>
  <c r="E27" i="41"/>
  <c r="D27" i="41"/>
  <c r="C27" i="41"/>
  <c r="J24" i="41"/>
  <c r="J23" i="41"/>
  <c r="J22" i="41"/>
  <c r="I21" i="41"/>
  <c r="H21" i="41"/>
  <c r="G21" i="41"/>
  <c r="F21" i="41"/>
  <c r="E21" i="41"/>
  <c r="D21" i="41"/>
  <c r="C21" i="41"/>
  <c r="J18" i="41"/>
  <c r="J17" i="41"/>
  <c r="J16" i="41"/>
  <c r="I15" i="41"/>
  <c r="H15" i="41"/>
  <c r="G15" i="41"/>
  <c r="E15" i="41"/>
  <c r="D15" i="41"/>
  <c r="C15" i="41"/>
  <c r="J12" i="41"/>
  <c r="J11" i="41"/>
  <c r="J10" i="41"/>
  <c r="I9" i="41"/>
  <c r="H9" i="41"/>
  <c r="G9" i="41"/>
  <c r="E9" i="41"/>
  <c r="D9" i="41"/>
  <c r="C9" i="41"/>
  <c r="E6" i="41"/>
  <c r="J6" i="41" s="1"/>
  <c r="J5" i="41"/>
  <c r="J4" i="41"/>
  <c r="I3" i="41"/>
  <c r="H3" i="41"/>
  <c r="G3" i="41"/>
  <c r="F3" i="41"/>
  <c r="D3" i="41"/>
  <c r="C3" i="41"/>
  <c r="AG11" i="44"/>
  <c r="AC11" i="44"/>
  <c r="Y11" i="44"/>
  <c r="U11" i="44"/>
  <c r="Q11" i="44"/>
  <c r="M11" i="44"/>
  <c r="I11" i="44"/>
  <c r="H11" i="44"/>
  <c r="G11" i="44"/>
  <c r="F11" i="44"/>
  <c r="AG10" i="44"/>
  <c r="AC10" i="44"/>
  <c r="Y10" i="44"/>
  <c r="U10" i="44"/>
  <c r="Q10" i="44"/>
  <c r="M10" i="44"/>
  <c r="I10" i="44"/>
  <c r="H10" i="44"/>
  <c r="G10" i="44"/>
  <c r="F10" i="44"/>
  <c r="AJ9" i="44"/>
  <c r="AJ8" i="44" s="1"/>
  <c r="AJ7" i="44" s="1"/>
  <c r="AI9" i="44"/>
  <c r="AI8" i="44" s="1"/>
  <c r="AI7" i="44" s="1"/>
  <c r="AH9" i="44"/>
  <c r="AF9" i="44"/>
  <c r="AF8" i="44" s="1"/>
  <c r="AF7" i="44" s="1"/>
  <c r="AE9" i="44"/>
  <c r="AE8" i="44" s="1"/>
  <c r="AE7" i="44" s="1"/>
  <c r="AD9" i="44"/>
  <c r="AB9" i="44"/>
  <c r="AB8" i="44" s="1"/>
  <c r="AB7" i="44" s="1"/>
  <c r="AA9" i="44"/>
  <c r="Z9" i="44"/>
  <c r="Z8" i="44" s="1"/>
  <c r="Z7" i="44" s="1"/>
  <c r="X9" i="44"/>
  <c r="X8" i="44" s="1"/>
  <c r="X7" i="44" s="1"/>
  <c r="W9" i="44"/>
  <c r="V9" i="44"/>
  <c r="V8" i="44" s="1"/>
  <c r="V7" i="44" s="1"/>
  <c r="T9" i="44"/>
  <c r="T8" i="44" s="1"/>
  <c r="T7" i="44" s="1"/>
  <c r="S9" i="44"/>
  <c r="Q9" i="44" s="1"/>
  <c r="R9" i="44"/>
  <c r="R8" i="44" s="1"/>
  <c r="R7" i="44" s="1"/>
  <c r="P9" i="44"/>
  <c r="O9" i="44"/>
  <c r="L9" i="44"/>
  <c r="K9" i="44"/>
  <c r="K8" i="44" s="1"/>
  <c r="J9" i="44"/>
  <c r="J8" i="44" s="1"/>
  <c r="J7" i="44" s="1"/>
  <c r="N8" i="44"/>
  <c r="N7" i="44" s="1"/>
  <c r="L8" i="44"/>
  <c r="L7" i="44" s="1"/>
  <c r="E3" i="41" l="1"/>
  <c r="F13" i="22"/>
  <c r="H34" i="22"/>
  <c r="E36" i="22"/>
  <c r="AE58" i="22"/>
  <c r="AE59" i="22"/>
  <c r="E65" i="22"/>
  <c r="S28" i="22"/>
  <c r="AJ28" i="22"/>
  <c r="Y40" i="22"/>
  <c r="E55" i="22"/>
  <c r="E57" i="22"/>
  <c r="F64" i="22"/>
  <c r="H76" i="22"/>
  <c r="E88" i="22"/>
  <c r="Y9" i="44"/>
  <c r="G39" i="41"/>
  <c r="F59" i="22"/>
  <c r="U59" i="22"/>
  <c r="G64" i="22"/>
  <c r="Y64" i="22"/>
  <c r="Y63" i="22" s="1"/>
  <c r="F38" i="22"/>
  <c r="M38" i="22"/>
  <c r="J21" i="41"/>
  <c r="J33" i="41"/>
  <c r="C39" i="41"/>
  <c r="H11" i="22"/>
  <c r="E11" i="22" s="1"/>
  <c r="Y17" i="22"/>
  <c r="Q38" i="22"/>
  <c r="E47" i="22"/>
  <c r="I64" i="22"/>
  <c r="I63" i="22" s="1"/>
  <c r="F70" i="22"/>
  <c r="X70" i="22"/>
  <c r="X68" i="22" s="1"/>
  <c r="X67" i="22" s="1"/>
  <c r="L79" i="22"/>
  <c r="H79" i="22" s="1"/>
  <c r="Y10" i="22"/>
  <c r="E20" i="22"/>
  <c r="AL27" i="22"/>
  <c r="F34" i="22"/>
  <c r="S27" i="22"/>
  <c r="AI38" i="22"/>
  <c r="Q64" i="22"/>
  <c r="Q63" i="22" s="1"/>
  <c r="H58" i="22"/>
  <c r="H9" i="44"/>
  <c r="D39" i="41"/>
  <c r="H29" i="22"/>
  <c r="R28" i="22"/>
  <c r="Q28" i="22" s="1"/>
  <c r="W28" i="22"/>
  <c r="AA28" i="22"/>
  <c r="G48" i="22"/>
  <c r="G49" i="22"/>
  <c r="R58" i="22"/>
  <c r="Q58" i="22" s="1"/>
  <c r="W58" i="22"/>
  <c r="U38" i="22"/>
  <c r="H40" i="22"/>
  <c r="H38" i="22"/>
  <c r="E23" i="22"/>
  <c r="E33" i="22"/>
  <c r="E25" i="22"/>
  <c r="E16" i="22"/>
  <c r="E41" i="22"/>
  <c r="E45" i="22"/>
  <c r="I8" i="44"/>
  <c r="K7" i="44"/>
  <c r="I7" i="44" s="1"/>
  <c r="Y26" i="22"/>
  <c r="H26" i="22"/>
  <c r="E26" i="22" s="1"/>
  <c r="G29" i="22"/>
  <c r="U66" i="22"/>
  <c r="H66" i="22"/>
  <c r="E66" i="22" s="1"/>
  <c r="X64" i="22"/>
  <c r="AC9" i="44"/>
  <c r="U10" i="22"/>
  <c r="H10" i="22"/>
  <c r="AI10" i="22"/>
  <c r="AK8" i="22"/>
  <c r="G13" i="22"/>
  <c r="I29" i="22"/>
  <c r="J28" i="22"/>
  <c r="Y29" i="22"/>
  <c r="I34" i="22"/>
  <c r="G34" i="22"/>
  <c r="AA27" i="22"/>
  <c r="M40" i="22"/>
  <c r="Q40" i="22"/>
  <c r="U40" i="22"/>
  <c r="M59" i="22"/>
  <c r="G59" i="22"/>
  <c r="O58" i="22"/>
  <c r="G58" i="22" s="1"/>
  <c r="AI28" i="22"/>
  <c r="AJ27" i="22"/>
  <c r="AE64" i="22"/>
  <c r="AG63" i="22"/>
  <c r="AG62" i="22" s="1"/>
  <c r="L28" i="22"/>
  <c r="S63" i="22"/>
  <c r="S62" i="22" s="1"/>
  <c r="S6" i="22" s="1"/>
  <c r="O63" i="22"/>
  <c r="O62" i="22" s="1"/>
  <c r="M64" i="22"/>
  <c r="M63" i="22" s="1"/>
  <c r="I9" i="44"/>
  <c r="M9" i="44"/>
  <c r="G9" i="44"/>
  <c r="E11" i="44"/>
  <c r="H39" i="41"/>
  <c r="J41" i="41"/>
  <c r="E15" i="22"/>
  <c r="Z28" i="22"/>
  <c r="E32" i="22"/>
  <c r="F40" i="22"/>
  <c r="Y38" i="22"/>
  <c r="E53" i="22"/>
  <c r="I58" i="22"/>
  <c r="AA63" i="22"/>
  <c r="AA62" i="22" s="1"/>
  <c r="Y62" i="22" s="1"/>
  <c r="U64" i="22"/>
  <c r="U63" i="22" s="1"/>
  <c r="W63" i="22"/>
  <c r="W62" i="22" s="1"/>
  <c r="J27" i="41"/>
  <c r="J40" i="41"/>
  <c r="Q17" i="22"/>
  <c r="E19" i="22"/>
  <c r="F29" i="22"/>
  <c r="F28" i="22" s="1"/>
  <c r="X28" i="22"/>
  <c r="X27" i="22" s="1"/>
  <c r="AE29" i="22"/>
  <c r="U34" i="22"/>
  <c r="E35" i="22"/>
  <c r="E46" i="22"/>
  <c r="E56" i="22"/>
  <c r="U58" i="22"/>
  <c r="Q59" i="22"/>
  <c r="H59" i="22"/>
  <c r="E60" i="22"/>
  <c r="U70" i="22"/>
  <c r="H71" i="22"/>
  <c r="E71" i="22" s="1"/>
  <c r="U71" i="22"/>
  <c r="U73" i="22"/>
  <c r="H78" i="22"/>
  <c r="Y79" i="22"/>
  <c r="U9" i="44"/>
  <c r="AG9" i="44"/>
  <c r="E10" i="44"/>
  <c r="E42" i="41"/>
  <c r="J42" i="41" s="1"/>
  <c r="E12" i="22"/>
  <c r="E24" i="22"/>
  <c r="P28" i="22"/>
  <c r="P27" i="22" s="1"/>
  <c r="P6" i="22" s="1"/>
  <c r="AH28" i="22"/>
  <c r="AH27" i="22" s="1"/>
  <c r="E30" i="22"/>
  <c r="E31" i="22"/>
  <c r="O28" i="22"/>
  <c r="O27" i="22" s="1"/>
  <c r="O6" i="22" s="1"/>
  <c r="AG28" i="22"/>
  <c r="AG27" i="22" s="1"/>
  <c r="E39" i="22"/>
  <c r="E42" i="22"/>
  <c r="AB27" i="22"/>
  <c r="E50" i="22"/>
  <c r="I59" i="22"/>
  <c r="Y59" i="22"/>
  <c r="M62" i="22"/>
  <c r="AE62" i="22"/>
  <c r="E78" i="22"/>
  <c r="Y80" i="22"/>
  <c r="E84" i="22"/>
  <c r="E61" i="22"/>
  <c r="U49" i="22"/>
  <c r="F39" i="41"/>
  <c r="E75" i="22"/>
  <c r="AB8" i="22"/>
  <c r="AB7" i="22" s="1"/>
  <c r="Y9" i="22"/>
  <c r="AK7" i="22"/>
  <c r="G7" i="22" s="1"/>
  <c r="H13" i="22"/>
  <c r="M13" i="22"/>
  <c r="N8" i="22"/>
  <c r="E14" i="22"/>
  <c r="AH8" i="22"/>
  <c r="AE17" i="22"/>
  <c r="E22" i="22"/>
  <c r="U29" i="22"/>
  <c r="V28" i="22"/>
  <c r="M34" i="22"/>
  <c r="Q34" i="22"/>
  <c r="Y34" i="22"/>
  <c r="AE34" i="22"/>
  <c r="AI34" i="22"/>
  <c r="I49" i="22"/>
  <c r="J48" i="22"/>
  <c r="Y49" i="22"/>
  <c r="Z48" i="22"/>
  <c r="Y48" i="22" s="1"/>
  <c r="E51" i="22"/>
  <c r="E54" i="22"/>
  <c r="AE63" i="22"/>
  <c r="E76" i="22"/>
  <c r="U9" i="22"/>
  <c r="H9" i="22"/>
  <c r="E9" i="22" s="1"/>
  <c r="X8" i="22"/>
  <c r="X7" i="22" s="1"/>
  <c r="F8" i="22"/>
  <c r="I13" i="22"/>
  <c r="J8" i="22"/>
  <c r="T8" i="22"/>
  <c r="T7" i="22" s="1"/>
  <c r="Y13" i="22"/>
  <c r="Z8" i="22"/>
  <c r="H17" i="22"/>
  <c r="AI17" i="22"/>
  <c r="AL8" i="22"/>
  <c r="AL7" i="22" s="1"/>
  <c r="AL6" i="22" s="1"/>
  <c r="T27" i="22"/>
  <c r="AF28" i="22"/>
  <c r="M67" i="22"/>
  <c r="U67" i="22"/>
  <c r="L68" i="22"/>
  <c r="Q70" i="22"/>
  <c r="R68" i="22"/>
  <c r="AG68" i="22"/>
  <c r="AG67" i="22" s="1"/>
  <c r="AG6" i="22" s="1"/>
  <c r="Y72" i="22"/>
  <c r="AA70" i="22"/>
  <c r="AH70" i="22"/>
  <c r="AH68" i="22" s="1"/>
  <c r="AH67" i="22" s="1"/>
  <c r="H72" i="22"/>
  <c r="G81" i="22"/>
  <c r="E81" i="22" s="1"/>
  <c r="I81" i="22"/>
  <c r="K80" i="22"/>
  <c r="G83" i="22"/>
  <c r="E83" i="22" s="1"/>
  <c r="K86" i="22"/>
  <c r="U13" i="22"/>
  <c r="V8" i="22"/>
  <c r="AI27" i="22"/>
  <c r="AJ6" i="22"/>
  <c r="M29" i="22"/>
  <c r="N28" i="22"/>
  <c r="L48" i="22"/>
  <c r="H48" i="22" s="1"/>
  <c r="H49" i="22"/>
  <c r="Q49" i="22"/>
  <c r="R48" i="22"/>
  <c r="Q48" i="22" s="1"/>
  <c r="K62" i="22"/>
  <c r="F63" i="22"/>
  <c r="J62" i="22"/>
  <c r="G10" i="22"/>
  <c r="AE10" i="22"/>
  <c r="L8" i="22"/>
  <c r="L7" i="22" s="1"/>
  <c r="Q13" i="22"/>
  <c r="R8" i="22"/>
  <c r="U17" i="22"/>
  <c r="G17" i="22"/>
  <c r="E21" i="22"/>
  <c r="Y28" i="22"/>
  <c r="G40" i="22"/>
  <c r="I40" i="22"/>
  <c r="K38" i="22"/>
  <c r="K28" i="22" s="1"/>
  <c r="AE40" i="22"/>
  <c r="AE38" i="22" s="1"/>
  <c r="E44" i="22"/>
  <c r="M48" i="22"/>
  <c r="U48" i="22"/>
  <c r="AE48" i="22"/>
  <c r="F49" i="22"/>
  <c r="M68" i="22"/>
  <c r="U68" i="22"/>
  <c r="I70" i="22"/>
  <c r="J68" i="22"/>
  <c r="Y70" i="22"/>
  <c r="Z68" i="22"/>
  <c r="G72" i="22"/>
  <c r="AE72" i="22"/>
  <c r="U80" i="22"/>
  <c r="F80" i="22"/>
  <c r="V79" i="22"/>
  <c r="K85" i="22"/>
  <c r="G85" i="22" s="1"/>
  <c r="E85" i="22" s="1"/>
  <c r="Q29" i="22"/>
  <c r="E43" i="22"/>
  <c r="M49" i="22"/>
  <c r="AE49" i="22"/>
  <c r="E52" i="22"/>
  <c r="AK70" i="22"/>
  <c r="AI72" i="22"/>
  <c r="M79" i="22"/>
  <c r="I83" i="22"/>
  <c r="E69" i="22"/>
  <c r="M70" i="22"/>
  <c r="E77" i="22"/>
  <c r="Q79" i="22"/>
  <c r="AE79" i="22"/>
  <c r="M80" i="22"/>
  <c r="Q80" i="22"/>
  <c r="E82" i="22"/>
  <c r="J3" i="41"/>
  <c r="F9" i="41"/>
  <c r="J9" i="41" s="1"/>
  <c r="F15" i="41"/>
  <c r="J15" i="41" s="1"/>
  <c r="E9" i="44"/>
  <c r="F9" i="44"/>
  <c r="AD8" i="44"/>
  <c r="AH8" i="44"/>
  <c r="O8" i="44"/>
  <c r="S8" i="44"/>
  <c r="W8" i="44"/>
  <c r="AA8" i="44"/>
  <c r="P8" i="44"/>
  <c r="E34" i="22" l="1"/>
  <c r="L27" i="22"/>
  <c r="H27" i="22" s="1"/>
  <c r="W27" i="22"/>
  <c r="W6" i="22" s="1"/>
  <c r="AE67" i="22"/>
  <c r="E72" i="22"/>
  <c r="Z27" i="22"/>
  <c r="Y27" i="22" s="1"/>
  <c r="E29" i="22"/>
  <c r="E59" i="22"/>
  <c r="F58" i="22"/>
  <c r="E58" i="22" s="1"/>
  <c r="J39" i="41"/>
  <c r="E40" i="22"/>
  <c r="E17" i="22"/>
  <c r="E13" i="22"/>
  <c r="AB6" i="22"/>
  <c r="G62" i="22"/>
  <c r="E39" i="41"/>
  <c r="G8" i="22"/>
  <c r="G63" i="22"/>
  <c r="H28" i="22"/>
  <c r="Q62" i="22"/>
  <c r="M58" i="22"/>
  <c r="X63" i="22"/>
  <c r="H64" i="22"/>
  <c r="E64" i="22" s="1"/>
  <c r="G80" i="22"/>
  <c r="E80" i="22" s="1"/>
  <c r="I80" i="22"/>
  <c r="K79" i="22"/>
  <c r="AE70" i="22"/>
  <c r="E70" i="22" s="1"/>
  <c r="H70" i="22"/>
  <c r="AE28" i="22"/>
  <c r="AF27" i="22"/>
  <c r="I48" i="22"/>
  <c r="F48" i="22"/>
  <c r="E48" i="22" s="1"/>
  <c r="N7" i="22"/>
  <c r="M8" i="22"/>
  <c r="AI8" i="22"/>
  <c r="AK68" i="22"/>
  <c r="AI70" i="22"/>
  <c r="Z67" i="22"/>
  <c r="G38" i="22"/>
  <c r="E38" i="22" s="1"/>
  <c r="I38" i="22"/>
  <c r="R7" i="22"/>
  <c r="Q8" i="22"/>
  <c r="M28" i="22"/>
  <c r="N27" i="22"/>
  <c r="M27" i="22" s="1"/>
  <c r="G70" i="22"/>
  <c r="AA68" i="22"/>
  <c r="Y68" i="22" s="1"/>
  <c r="Q68" i="22"/>
  <c r="R67" i="22"/>
  <c r="Q67" i="22" s="1"/>
  <c r="T6" i="22"/>
  <c r="E10" i="22"/>
  <c r="R27" i="22"/>
  <c r="Q27" i="22" s="1"/>
  <c r="AH7" i="22"/>
  <c r="AE8" i="22"/>
  <c r="U79" i="22"/>
  <c r="F79" i="22"/>
  <c r="F62" i="22"/>
  <c r="I62" i="22"/>
  <c r="K27" i="22"/>
  <c r="G28" i="22"/>
  <c r="I85" i="22"/>
  <c r="I86" i="22"/>
  <c r="I87" i="22" s="1"/>
  <c r="G86" i="22"/>
  <c r="E86" i="22" s="1"/>
  <c r="K87" i="22"/>
  <c r="G87" i="22" s="1"/>
  <c r="E87" i="22" s="1"/>
  <c r="J27" i="22"/>
  <c r="J7" i="22"/>
  <c r="I8" i="22"/>
  <c r="AE68" i="22"/>
  <c r="I68" i="22"/>
  <c r="F68" i="22"/>
  <c r="J67" i="22"/>
  <c r="E49" i="22"/>
  <c r="H7" i="22"/>
  <c r="V7" i="22"/>
  <c r="U8" i="22"/>
  <c r="L67" i="22"/>
  <c r="H67" i="22" s="1"/>
  <c r="H68" i="22"/>
  <c r="I28" i="22"/>
  <c r="Z7" i="22"/>
  <c r="Y8" i="22"/>
  <c r="H8" i="22"/>
  <c r="U28" i="22"/>
  <c r="V27" i="22"/>
  <c r="AI7" i="22"/>
  <c r="AA7" i="44"/>
  <c r="Y7" i="44" s="1"/>
  <c r="Y8" i="44"/>
  <c r="AH7" i="44"/>
  <c r="AG7" i="44" s="1"/>
  <c r="AG8" i="44"/>
  <c r="W7" i="44"/>
  <c r="U7" i="44" s="1"/>
  <c r="U8" i="44"/>
  <c r="AD7" i="44"/>
  <c r="AC8" i="44"/>
  <c r="F8" i="44"/>
  <c r="S7" i="44"/>
  <c r="Q7" i="44" s="1"/>
  <c r="Q8" i="44"/>
  <c r="H8" i="44"/>
  <c r="P7" i="44"/>
  <c r="H7" i="44" s="1"/>
  <c r="G8" i="44"/>
  <c r="O7" i="44"/>
  <c r="M8" i="44"/>
  <c r="U27" i="22" l="1"/>
  <c r="E8" i="22"/>
  <c r="E28" i="22"/>
  <c r="X62" i="22"/>
  <c r="H63" i="22"/>
  <c r="E63" i="22" s="1"/>
  <c r="L6" i="22"/>
  <c r="F27" i="22"/>
  <c r="I27" i="22"/>
  <c r="AK67" i="22"/>
  <c r="AI68" i="22"/>
  <c r="M7" i="22"/>
  <c r="N6" i="22"/>
  <c r="M6" i="22" s="1"/>
  <c r="AF6" i="22"/>
  <c r="AE27" i="22"/>
  <c r="G79" i="22"/>
  <c r="E79" i="22" s="1"/>
  <c r="I79" i="22"/>
  <c r="Z6" i="22"/>
  <c r="Y7" i="22"/>
  <c r="AH6" i="22"/>
  <c r="AE7" i="22"/>
  <c r="R6" i="22"/>
  <c r="Q6" i="22" s="1"/>
  <c r="Q7" i="22"/>
  <c r="F7" i="22"/>
  <c r="E7" i="22" s="1"/>
  <c r="J6" i="22"/>
  <c r="I7" i="22"/>
  <c r="G68" i="22"/>
  <c r="E68" i="22" s="1"/>
  <c r="AA67" i="22"/>
  <c r="V6" i="22"/>
  <c r="U7" i="22"/>
  <c r="I67" i="22"/>
  <c r="F67" i="22"/>
  <c r="G27" i="22"/>
  <c r="K6" i="22"/>
  <c r="G7" i="44"/>
  <c r="M7" i="44"/>
  <c r="AC7" i="44"/>
  <c r="F7" i="44"/>
  <c r="E8" i="44"/>
  <c r="AE6" i="22" l="1"/>
  <c r="U62" i="22"/>
  <c r="H62" i="22"/>
  <c r="E62" i="22" s="1"/>
  <c r="X6" i="22"/>
  <c r="H6" i="22" s="1"/>
  <c r="F6" i="22"/>
  <c r="I6" i="22"/>
  <c r="G67" i="22"/>
  <c r="E67" i="22" s="1"/>
  <c r="AA6" i="22"/>
  <c r="Y67" i="22"/>
  <c r="E27" i="22"/>
  <c r="AI67" i="22"/>
  <c r="AK6" i="22"/>
  <c r="AI6" i="22" s="1"/>
  <c r="E7" i="44"/>
  <c r="G6" i="22" l="1"/>
  <c r="E6" i="22" s="1"/>
  <c r="U6" i="22"/>
  <c r="Y6" i="22"/>
  <c r="N6" i="37" l="1"/>
  <c r="R6" i="37"/>
  <c r="V6" i="37"/>
  <c r="Z6" i="37"/>
  <c r="J6" i="37"/>
  <c r="AG31" i="39" l="1"/>
  <c r="AC30" i="39"/>
  <c r="AC31" i="39"/>
  <c r="AJ12" i="39"/>
  <c r="AJ10" i="39"/>
  <c r="AF10" i="39"/>
  <c r="AF12" i="39"/>
  <c r="AB12" i="39"/>
  <c r="AB10" i="39"/>
  <c r="Y31" i="39"/>
  <c r="F31" i="39"/>
  <c r="G31" i="39"/>
  <c r="E31" i="39" s="1"/>
  <c r="H31" i="39"/>
  <c r="Y30" i="39"/>
  <c r="AG8" i="39"/>
  <c r="AJ8" i="37"/>
  <c r="AF8" i="37"/>
  <c r="AB8" i="37"/>
  <c r="F14" i="38" l="1"/>
  <c r="H14" i="38"/>
  <c r="F11" i="38"/>
  <c r="G11" i="38"/>
  <c r="H10" i="38"/>
  <c r="F9" i="38"/>
  <c r="AG14" i="38"/>
  <c r="AF13" i="38"/>
  <c r="AH13" i="38"/>
  <c r="F13" i="38" s="1"/>
  <c r="AJ13" i="38"/>
  <c r="AI13" i="38"/>
  <c r="AG10" i="38"/>
  <c r="AG11" i="38"/>
  <c r="AG9" i="38"/>
  <c r="AH8" i="38"/>
  <c r="AI8" i="38"/>
  <c r="AJ8" i="38"/>
  <c r="F11" i="39"/>
  <c r="G11" i="39"/>
  <c r="F16" i="39"/>
  <c r="G16" i="39"/>
  <c r="F17" i="39"/>
  <c r="G17" i="39"/>
  <c r="F18" i="39"/>
  <c r="G18" i="39"/>
  <c r="F19" i="39"/>
  <c r="G19" i="39"/>
  <c r="F20" i="39"/>
  <c r="G20" i="39"/>
  <c r="F21" i="39"/>
  <c r="G21" i="39"/>
  <c r="F22" i="39"/>
  <c r="G22" i="39"/>
  <c r="F23" i="39"/>
  <c r="G23" i="39"/>
  <c r="F29" i="39"/>
  <c r="G29" i="39"/>
  <c r="F30" i="39"/>
  <c r="G30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F10" i="39"/>
  <c r="G10" i="39"/>
  <c r="F8" i="39"/>
  <c r="G8" i="39"/>
  <c r="AG23" i="39"/>
  <c r="AG24" i="39"/>
  <c r="AG25" i="39"/>
  <c r="AG26" i="39"/>
  <c r="AG27" i="39"/>
  <c r="AG28" i="39"/>
  <c r="AG29" i="39"/>
  <c r="AG30" i="39"/>
  <c r="AG10" i="39"/>
  <c r="AG17" i="39"/>
  <c r="AG18" i="39"/>
  <c r="AG19" i="39"/>
  <c r="AG20" i="39"/>
  <c r="AG21" i="39"/>
  <c r="AG22" i="39"/>
  <c r="AG16" i="39"/>
  <c r="AG12" i="39"/>
  <c r="AJ11" i="39"/>
  <c r="AG11" i="39" s="1"/>
  <c r="AH7" i="39"/>
  <c r="AH6" i="39" s="1"/>
  <c r="AI7" i="39"/>
  <c r="AI6" i="39" s="1"/>
  <c r="AJ7" i="39"/>
  <c r="AJ6" i="39"/>
  <c r="G21" i="37"/>
  <c r="G20" i="37"/>
  <c r="G19" i="37"/>
  <c r="G18" i="37"/>
  <c r="H19" i="37"/>
  <c r="H20" i="37"/>
  <c r="H21" i="37"/>
  <c r="F15" i="37"/>
  <c r="G15" i="37"/>
  <c r="F14" i="37"/>
  <c r="G14" i="37"/>
  <c r="H15" i="37"/>
  <c r="H14" i="37"/>
  <c r="F11" i="37"/>
  <c r="G11" i="37"/>
  <c r="F10" i="37"/>
  <c r="G10" i="37"/>
  <c r="H10" i="37"/>
  <c r="H11" i="37"/>
  <c r="F9" i="37"/>
  <c r="G9" i="37"/>
  <c r="H9" i="37"/>
  <c r="AH8" i="37"/>
  <c r="AI8" i="37"/>
  <c r="AG9" i="37"/>
  <c r="AG10" i="37"/>
  <c r="AG11" i="37"/>
  <c r="AG15" i="37"/>
  <c r="AG14" i="37"/>
  <c r="AH12" i="37"/>
  <c r="AI12" i="37"/>
  <c r="AJ12" i="37"/>
  <c r="AJ7" i="37" s="1"/>
  <c r="AJ6" i="37" s="1"/>
  <c r="AG16" i="37"/>
  <c r="Y19" i="37"/>
  <c r="Y20" i="37"/>
  <c r="Y21" i="37"/>
  <c r="AC19" i="37"/>
  <c r="AC20" i="37"/>
  <c r="AC21" i="37"/>
  <c r="AG19" i="37"/>
  <c r="AG20" i="37"/>
  <c r="AG21" i="37"/>
  <c r="AG18" i="37"/>
  <c r="AI7" i="37" l="1"/>
  <c r="AI6" i="37" s="1"/>
  <c r="AH7" i="37"/>
  <c r="AH6" i="37" s="1"/>
  <c r="AG8" i="37"/>
  <c r="AG7" i="39"/>
  <c r="AH7" i="38"/>
  <c r="AG13" i="38"/>
  <c r="AG8" i="38"/>
  <c r="AI7" i="38"/>
  <c r="AJ7" i="38"/>
  <c r="AG7" i="37"/>
  <c r="AG6" i="37" s="1"/>
  <c r="AG6" i="39"/>
  <c r="AG12" i="37"/>
  <c r="AG7" i="38" l="1"/>
  <c r="E19" i="37" l="1"/>
  <c r="U19" i="37"/>
  <c r="E20" i="37" l="1"/>
  <c r="E21" i="37"/>
  <c r="U20" i="37"/>
  <c r="U21" i="37"/>
  <c r="E30" i="39" l="1"/>
  <c r="X11" i="39"/>
  <c r="X12" i="39"/>
  <c r="U30" i="39"/>
  <c r="X8" i="37" l="1"/>
  <c r="AC11" i="37"/>
  <c r="Y11" i="37"/>
  <c r="U11" i="37"/>
  <c r="Q11" i="37"/>
  <c r="AE13" i="38"/>
  <c r="E11" i="37" l="1"/>
  <c r="AF11" i="39" l="1"/>
  <c r="AF8" i="39"/>
  <c r="AF7" i="39" s="1"/>
  <c r="AF6" i="39" l="1"/>
  <c r="AF12" i="37"/>
  <c r="AF7" i="37" s="1"/>
  <c r="AF6" i="37" s="1"/>
  <c r="AD12" i="37"/>
  <c r="F12" i="37" s="1"/>
  <c r="AE12" i="37"/>
  <c r="G12" i="37" s="1"/>
  <c r="Y17" i="37"/>
  <c r="Y18" i="37"/>
  <c r="U17" i="37"/>
  <c r="U18" i="37"/>
  <c r="H12" i="38"/>
  <c r="F10" i="38"/>
  <c r="AC11" i="38"/>
  <c r="AF9" i="38"/>
  <c r="AC10" i="38"/>
  <c r="AC12" i="38"/>
  <c r="AC13" i="38"/>
  <c r="AC14" i="38"/>
  <c r="AD8" i="38"/>
  <c r="AE8" i="38"/>
  <c r="AE7" i="38" s="1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H9" i="39"/>
  <c r="G13" i="37"/>
  <c r="G16" i="37"/>
  <c r="G17" i="37"/>
  <c r="H17" i="37"/>
  <c r="H18" i="37"/>
  <c r="AC9" i="37"/>
  <c r="AC10" i="37"/>
  <c r="AC13" i="37"/>
  <c r="AC14" i="37"/>
  <c r="AC15" i="37"/>
  <c r="AC16" i="37"/>
  <c r="AC17" i="37"/>
  <c r="AC18" i="37"/>
  <c r="AD8" i="37"/>
  <c r="AE8" i="37"/>
  <c r="AC9" i="38" l="1"/>
  <c r="H9" i="38"/>
  <c r="AE7" i="37"/>
  <c r="AE6" i="37" s="1"/>
  <c r="AD7" i="37"/>
  <c r="AD7" i="38"/>
  <c r="F7" i="38" s="1"/>
  <c r="F8" i="38"/>
  <c r="AF8" i="38"/>
  <c r="AF7" i="38" s="1"/>
  <c r="AC7" i="38" s="1"/>
  <c r="AC12" i="37"/>
  <c r="AC8" i="37"/>
  <c r="AE6" i="39"/>
  <c r="AC6" i="39" s="1"/>
  <c r="F38" i="40"/>
  <c r="F33" i="40"/>
  <c r="F21" i="40"/>
  <c r="F52" i="40"/>
  <c r="F57" i="40"/>
  <c r="F65" i="40"/>
  <c r="F50" i="40"/>
  <c r="F47" i="40"/>
  <c r="AD6" i="37" l="1"/>
  <c r="F7" i="37"/>
  <c r="F6" i="37" s="1"/>
  <c r="AC7" i="37"/>
  <c r="AC6" i="37" s="1"/>
  <c r="AC8" i="38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L37" i="35" s="1"/>
  <c r="N38" i="35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8" i="35" l="1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AA15" i="38"/>
  <c r="Y15" i="38" s="1"/>
  <c r="U15" i="38"/>
  <c r="Q15" i="38"/>
  <c r="M15" i="38"/>
  <c r="I15" i="38"/>
  <c r="H15" i="38"/>
  <c r="Q14" i="38"/>
  <c r="O14" i="38"/>
  <c r="M14" i="38" s="1"/>
  <c r="K14" i="38"/>
  <c r="G14" i="38" s="1"/>
  <c r="AB13" i="38"/>
  <c r="X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G9" i="38" s="1"/>
  <c r="AB8" i="38"/>
  <c r="X8" i="38"/>
  <c r="S8" i="38"/>
  <c r="H13" i="38" l="1"/>
  <c r="H11" i="38"/>
  <c r="I14" i="38"/>
  <c r="E14" i="38"/>
  <c r="I11" i="38"/>
  <c r="E11" i="38"/>
  <c r="X7" i="38"/>
  <c r="Q13" i="38"/>
  <c r="L8" i="38"/>
  <c r="I9" i="38"/>
  <c r="Y10" i="38"/>
  <c r="G10" i="38"/>
  <c r="E10" i="38" s="1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G15" i="38"/>
  <c r="E15" i="38" s="1"/>
  <c r="W8" i="38"/>
  <c r="O26" i="35"/>
  <c r="L26" i="35" s="1"/>
  <c r="H26" i="35"/>
  <c r="AA13" i="38"/>
  <c r="Y14" i="38"/>
  <c r="U14" i="38"/>
  <c r="G13" i="38" l="1"/>
  <c r="L7" i="38"/>
  <c r="H7" i="38" s="1"/>
  <c r="H8" i="38"/>
  <c r="Y8" i="38"/>
  <c r="G8" i="38"/>
  <c r="M7" i="38"/>
  <c r="M13" i="38"/>
  <c r="M8" i="38"/>
  <c r="I8" i="38"/>
  <c r="I13" i="38"/>
  <c r="E13" i="38"/>
  <c r="K7" i="38"/>
  <c r="Y9" i="38"/>
  <c r="E9" i="38"/>
  <c r="Q7" i="38"/>
  <c r="Q8" i="38"/>
  <c r="U8" i="38"/>
  <c r="W7" i="38"/>
  <c r="U7" i="38" s="1"/>
  <c r="Y13" i="38"/>
  <c r="AA7" i="38"/>
  <c r="G7" i="38" l="1"/>
  <c r="E7" i="38" s="1"/>
  <c r="I7" i="38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U8" i="39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8" i="39" l="1"/>
  <c r="E8" i="39" s="1"/>
  <c r="AB11" i="39"/>
  <c r="H12" i="39"/>
  <c r="I8" i="39"/>
  <c r="I7" i="39" s="1"/>
  <c r="Q11" i="39"/>
  <c r="T10" i="39"/>
  <c r="Q10" i="39" s="1"/>
  <c r="AB7" i="39"/>
  <c r="T7" i="39"/>
  <c r="M11" i="39"/>
  <c r="P10" i="39"/>
  <c r="M10" i="39" s="1"/>
  <c r="L7" i="39"/>
  <c r="Q12" i="39"/>
  <c r="E18" i="39"/>
  <c r="E29" i="39"/>
  <c r="E9" i="39"/>
  <c r="M12" i="39"/>
  <c r="E16" i="39"/>
  <c r="X10" i="39"/>
  <c r="U10" i="39" s="1"/>
  <c r="U11" i="39"/>
  <c r="P7" i="39"/>
  <c r="L11" i="39"/>
  <c r="Y12" i="39"/>
  <c r="E22" i="39"/>
  <c r="U12" i="39"/>
  <c r="G6" i="39"/>
  <c r="X7" i="39"/>
  <c r="I12" i="39"/>
  <c r="E20" i="39"/>
  <c r="G12" i="39"/>
  <c r="H7" i="39" l="1"/>
  <c r="E7" i="39" s="1"/>
  <c r="P6" i="39"/>
  <c r="M6" i="39" s="1"/>
  <c r="Y10" i="39"/>
  <c r="Y11" i="39"/>
  <c r="H11" i="39"/>
  <c r="E11" i="39" s="1"/>
  <c r="E12" i="39"/>
  <c r="AB6" i="39"/>
  <c r="Y6" i="39" s="1"/>
  <c r="T6" i="39"/>
  <c r="Q6" i="39" s="1"/>
  <c r="X6" i="39"/>
  <c r="U6" i="39" s="1"/>
  <c r="I11" i="39"/>
  <c r="L10" i="39"/>
  <c r="H10" i="39" s="1"/>
  <c r="O33" i="35"/>
  <c r="L33" i="35" s="1"/>
  <c r="D33" i="35"/>
  <c r="E10" i="39" l="1"/>
  <c r="I10" i="39"/>
  <c r="H6" i="39"/>
  <c r="E6" i="39" s="1"/>
  <c r="L6" i="39"/>
  <c r="I6" i="39" s="1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8" i="37" l="1"/>
  <c r="E18" i="37"/>
  <c r="Q17" i="37"/>
  <c r="M17" i="37"/>
  <c r="I17" i="37"/>
  <c r="Y16" i="37"/>
  <c r="U16" i="37"/>
  <c r="Q16" i="37"/>
  <c r="P16" i="37"/>
  <c r="H16" i="37" s="1"/>
  <c r="I16" i="37"/>
  <c r="Y15" i="37"/>
  <c r="U15" i="37"/>
  <c r="Q15" i="37"/>
  <c r="M15" i="37"/>
  <c r="I15" i="37"/>
  <c r="Y14" i="37"/>
  <c r="U14" i="37"/>
  <c r="Q14" i="37"/>
  <c r="M14" i="37"/>
  <c r="I14" i="37"/>
  <c r="AB13" i="37"/>
  <c r="AB12" i="37" s="1"/>
  <c r="AB6" i="37" s="1"/>
  <c r="X13" i="37"/>
  <c r="T13" i="37"/>
  <c r="T12" i="37" s="1"/>
  <c r="Q12" i="37" s="1"/>
  <c r="P13" i="37"/>
  <c r="M13" i="37" s="1"/>
  <c r="L13" i="37"/>
  <c r="Y10" i="37"/>
  <c r="U10" i="37"/>
  <c r="Q10" i="37"/>
  <c r="M10" i="37"/>
  <c r="I10" i="37"/>
  <c r="Y9" i="37"/>
  <c r="U9" i="37"/>
  <c r="Q9" i="37"/>
  <c r="M9" i="37"/>
  <c r="I9" i="37"/>
  <c r="U8" i="37"/>
  <c r="T8" i="37"/>
  <c r="P8" i="37"/>
  <c r="O8" i="37"/>
  <c r="N8" i="37"/>
  <c r="F8" i="37" s="1"/>
  <c r="I8" i="37"/>
  <c r="AA7" i="37"/>
  <c r="AA6" i="37" s="1"/>
  <c r="W7" i="37"/>
  <c r="W6" i="37" s="1"/>
  <c r="S7" i="37"/>
  <c r="S6" i="37" s="1"/>
  <c r="K7" i="37"/>
  <c r="H8" i="37" l="1"/>
  <c r="O7" i="37"/>
  <c r="O6" i="37" s="1"/>
  <c r="G8" i="37"/>
  <c r="K6" i="37"/>
  <c r="Y12" i="37"/>
  <c r="Y8" i="37"/>
  <c r="M16" i="37"/>
  <c r="E16" i="37"/>
  <c r="U13" i="37"/>
  <c r="H13" i="37"/>
  <c r="E13" i="37" s="1"/>
  <c r="E15" i="37"/>
  <c r="M8" i="37"/>
  <c r="T7" i="37"/>
  <c r="T6" i="37" s="1"/>
  <c r="E14" i="37"/>
  <c r="Q8" i="37"/>
  <c r="P12" i="37"/>
  <c r="M12" i="37" s="1"/>
  <c r="X12" i="37"/>
  <c r="X7" i="37" s="1"/>
  <c r="X6" i="37" s="1"/>
  <c r="I13" i="37"/>
  <c r="Q13" i="37"/>
  <c r="Y13" i="37"/>
  <c r="E9" i="37"/>
  <c r="L12" i="37"/>
  <c r="E17" i="37"/>
  <c r="E10" i="37"/>
  <c r="G7" i="37" l="1"/>
  <c r="G6" i="37" s="1"/>
  <c r="H12" i="37"/>
  <c r="E12" i="37" s="1"/>
  <c r="Y7" i="37"/>
  <c r="Y6" i="37" s="1"/>
  <c r="Q7" i="37"/>
  <c r="Q6" i="37" s="1"/>
  <c r="U12" i="37"/>
  <c r="E8" i="37"/>
  <c r="U7" i="37"/>
  <c r="U6" i="37" s="1"/>
  <c r="I12" i="37"/>
  <c r="L7" i="37"/>
  <c r="L6" i="37" s="1"/>
  <c r="P7" i="37"/>
  <c r="H7" i="37" l="1"/>
  <c r="H6" i="37" s="1"/>
  <c r="M7" i="37"/>
  <c r="M6" i="37" s="1"/>
  <c r="P6" i="37"/>
  <c r="I7" i="37"/>
  <c r="I6" i="37" s="1"/>
  <c r="E7" i="37" l="1"/>
  <c r="E6" i="37" s="1"/>
  <c r="N65" i="35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<sst xmlns="http://schemas.openxmlformats.org/spreadsheetml/2006/main" count="1864" uniqueCount="662">
  <si>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</si>
  <si>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</si>
  <si>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</si>
  <si>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</si>
  <si>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</si>
  <si>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</si>
  <si>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</si>
  <si>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</si>
  <si>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</si>
  <si>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</si>
  <si>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</si>
  <si>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</si>
  <si>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</si>
  <si>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</si>
  <si>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</si>
  <si>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</si>
  <si>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</si>
  <si>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МАОУ ДОД ДЮСШ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</si>
  <si>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</si>
  <si>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</si>
  <si>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</si>
  <si>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</si>
  <si>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</si>
  <si>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</si>
  <si>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</si>
  <si>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</si>
  <si>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</si>
  <si>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</si>
  <si>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</si>
  <si>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</si>
  <si>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</si>
  <si>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</si>
  <si>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</si>
  <si>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</si>
  <si>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</si>
  <si>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</si>
  <si>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</si>
  <si>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</si>
  <si>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</si>
  <si>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</si>
  <si>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</si>
  <si>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</si>
  <si>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</si>
  <si>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</si>
  <si>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</si>
  <si>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</si>
  <si>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</si>
  <si>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</si>
  <si>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</si>
  <si>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</si>
  <si>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</si>
  <si>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</si>
  <si>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</si>
  <si>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</si>
  <si>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</si>
  <si>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</si>
  <si>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</si>
  <si>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</si>
  <si>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</si>
  <si>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</si>
  <si>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</si>
  <si>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</si>
  <si>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</si>
  <si>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МАОУ ДОД СДЮСШОР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</si>
  <si>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</si>
  <si>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</si>
  <si>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</si>
  <si>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</si>
  <si>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</si>
  <si>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</si>
  <si>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</si>
  <si>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</si>
  <si>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</si>
  <si>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</si>
  <si>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</si>
  <si>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</si>
  <si>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</si>
  <si>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</si>
  <si>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</si>
  <si>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</si>
  <si>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</si>
  <si>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</si>
  <si>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</si>
  <si>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</si>
  <si>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</si>
  <si>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</si>
  <si>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</si>
  <si>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</si>
  <si>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</si>
  <si>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</si>
  <si>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</si>
  <si>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</si>
  <si>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</si>
  <si>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</si>
  <si>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</si>
  <si>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</si>
  <si>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</si>
  <si>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</si>
  <si>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</si>
  <si>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</si>
  <si>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</si>
  <si>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</si>
  <si>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</si>
  <si>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</si>
  <si>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</si>
  <si>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Ремонт крыльца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</si>
  <si>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</si>
  <si>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</si>
  <si>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</si>
  <si>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</si>
  <si>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</si>
  <si>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</si>
  <si>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</si>
  <si>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</si>
  <si>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</si>
  <si>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</si>
  <si>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</si>
  <si>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</si>
  <si>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</si>
  <si>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</si>
  <si>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</si>
  <si>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</si>
  <si>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</si>
  <si>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</si>
  <si>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</si>
  <si>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</si>
  <si>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</si>
  <si>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</si>
  <si>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</si>
  <si>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</si>
  <si>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</si>
  <si>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</si>
  <si>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</si>
  <si>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</si>
  <si>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</si>
  <si>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</si>
  <si>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</si>
  <si>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</si>
  <si>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</si>
  <si>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</si>
  <si>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</si>
  <si>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</si>
  <si>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</si>
  <si>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</si>
  <si>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</si>
  <si>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</si>
  <si>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</si>
  <si>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</si>
  <si>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</si>
  <si>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</si>
  <si>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</si>
  <si>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</si>
  <si>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</si>
  <si>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</si>
  <si>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</si>
  <si>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</si>
  <si>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</si>
  <si>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</si>
  <si>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</si>
  <si>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</si>
  <si>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</si>
  <si>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</si>
  <si>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</si>
  <si>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</si>
  <si>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</si>
  <si>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</si>
  <si>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</si>
  <si>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</si>
  <si>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</si>
  <si>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</si>
  <si>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</si>
  <si>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</si>
  <si>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</si>
  <si>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</si>
  <si>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</si>
  <si>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</si>
  <si>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</si>
  <si>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</si>
  <si>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</si>
  <si>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</si>
  <si>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</si>
  <si>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</si>
  <si>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</si>
  <si>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</si>
  <si>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</si>
  <si>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</si>
  <si>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</si>
  <si>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</si>
  <si>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</si>
  <si>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</si>
  <si>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</si>
  <si>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</si>
  <si>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</si>
  <si>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</si>
  <si>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</si>
  <si>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</si>
  <si>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</si>
  <si>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</si>
  <si>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</si>
  <si>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</si>
  <si>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</si>
  <si>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 xml:space="preserve">Задача  3. "Развитие современной информационной и телекоммуникационной инфраструктуры системы образования"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</si>
  <si>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</si>
  <si>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</si>
  <si>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</si>
  <si>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</si>
  <si>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</si>
  <si>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</si>
  <si>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</si>
  <si>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</si>
  <si>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</si>
  <si>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</si>
  <si>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</si>
  <si>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</si>
  <si>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</si>
  <si>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</si>
  <si>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</si>
  <si>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</si>
  <si>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</si>
  <si>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</si>
  <si>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</si>
  <si>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</si>
  <si>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</si>
  <si>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</si>
  <si>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</si>
  <si>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</si>
  <si>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</si>
  <si>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</si>
  <si>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</si>
  <si>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</si>
  <si>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Кандалакши")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</si>
  <si>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</si>
  <si>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</si>
  <si>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</si>
  <si>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</si>
  <si>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</si>
  <si>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</si>
  <si>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</si>
  <si>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</si>
  <si>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</si>
  <si>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</si>
  <si>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</si>
  <si>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</si>
  <si>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</si>
  <si>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</si>
  <si>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</si>
  <si>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</si>
  <si>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</si>
  <si>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</si>
  <si>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</si>
  <si>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</si>
  <si>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</si>
  <si>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</si>
  <si>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</si>
  <si>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</si>
  <si>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</si>
  <si>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</si>
  <si>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</si>
  <si>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</si>
  <si>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</si>
  <si>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</si>
  <si>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r>
      <t xml:space="preserve">Создание безбарьерной среды для </t>
    </r>
    <r>
      <rPr>
        <b/>
        <sz val="9"/>
        <color theme="1"/>
        <rFont val="Times New Roman"/>
        <family val="1"/>
        <charset val="204"/>
      </rPr>
      <t xml:space="preserve">обучающихся с ограниченными возможностями здоровья </t>
    </r>
    <r>
      <rPr>
        <sz val="9"/>
        <color theme="1"/>
        <rFont val="Times New Roman"/>
        <family val="1"/>
        <charset val="204"/>
      </rPr>
      <t xml:space="preserve">в образовательных организациях 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</si>
  <si>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</si>
  <si>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</si>
  <si>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</si>
  <si>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</si>
  <si>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</si>
  <si>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</si>
  <si>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</si>
  <si>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</si>
  <si>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</si>
  <si>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</si>
  <si>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</si>
  <si>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</si>
  <si>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</si>
  <si>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</si>
  <si>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</si>
  <si>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</si>
  <si>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</si>
  <si>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</si>
  <si>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>Основное  мероприятие  1.    "Строительство,   реконструкция  и капитальный  ремонт организаций системы  образования"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</si>
  <si>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</si>
  <si>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</si>
  <si>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</si>
  <si>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</si>
  <si>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</si>
  <si>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</si>
  <si>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</si>
  <si>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</si>
  <si>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</si>
  <si>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</si>
  <si>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</si>
  <si>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</si>
  <si>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</si>
  <si>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</si>
  <si>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</si>
  <si>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</si>
  <si>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</si>
  <si>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</si>
  <si>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</si>
  <si>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</si>
  <si>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Организация пропускного режима и контроля за внутренним распорядком в образовательных организациях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</si>
  <si>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</si>
  <si>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</si>
  <si>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</si>
  <si>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</si>
  <si>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</si>
  <si>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</si>
  <si>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</si>
  <si>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</si>
  <si>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</si>
  <si>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</si>
  <si>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</si>
  <si>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</si>
  <si>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</si>
  <si>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</si>
  <si>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</si>
  <si>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</si>
  <si>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</si>
  <si>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</si>
  <si>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</si>
  <si>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</si>
  <si>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</si>
  <si>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</si>
  <si>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</si>
  <si>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</si>
  <si>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</si>
  <si>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</si>
  <si>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</si>
  <si>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</si>
  <si>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</si>
  <si>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</si>
  <si>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</si>
  <si>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</si>
  <si>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</si>
  <si>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</si>
  <si>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</si>
  <si>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</si>
  <si>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</si>
  <si>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</si>
  <si>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Оснащение медицинских кабинетов в ДОО, в связи с необходимостью их лицензирования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</si>
  <si>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</si>
  <si>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</si>
  <si>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</si>
  <si>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</si>
  <si>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</si>
  <si>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</si>
  <si>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Мероприятия по оснащению медицинских кабинетов в дошкольных организациях для получения лицензии на медицинскую деятельность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</si>
  <si>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</si>
  <si>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</si>
  <si>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</si>
  <si>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</si>
  <si>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</si>
  <si>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</si>
  <si>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</si>
  <si>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</si>
  <si>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</si>
  <si>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</si>
  <si>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</si>
  <si>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</si>
  <si>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</si>
  <si>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</si>
  <si>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</si>
  <si>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</si>
  <si>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</si>
  <si>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</si>
  <si>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</si>
  <si>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</si>
  <si>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</si>
  <si>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</si>
  <si>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</si>
  <si>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</si>
  <si>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</si>
  <si>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</si>
  <si>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</si>
  <si>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</si>
  <si>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</si>
  <si>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</si>
  <si>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</si>
  <si>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</si>
  <si>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</si>
  <si>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</si>
  <si>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</si>
  <si>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</si>
  <si>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</si>
  <si>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r>
      <rPr>
        <b/>
        <sz val="10"/>
        <color theme="1"/>
        <rFont val="Times New Roman"/>
        <family val="1"/>
        <charset val="204"/>
      </rPr>
      <t>Основное мероприятие 3.</t>
    </r>
    <r>
      <rPr>
        <sz val="10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</si>
  <si>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</si>
  <si>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</si>
  <si>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</si>
  <si>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</si>
  <si>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</si>
  <si>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</si>
  <si>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</si>
  <si>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</si>
  <si>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</si>
  <si>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</si>
  <si>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</si>
  <si>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</si>
  <si>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</si>
  <si>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</si>
  <si>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</si>
  <si>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</si>
  <si>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</si>
  <si>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</si>
  <si>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</si>
  <si>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</si>
  <si>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</si>
  <si>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</si>
  <si>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</si>
  <si>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</si>
  <si>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</si>
  <si>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</si>
  <si>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</si>
  <si>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</si>
  <si>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</si>
  <si>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</si>
  <si>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</si>
  <si>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</si>
  <si>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</si>
  <si>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</si>
  <si>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</si>
  <si>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</si>
  <si>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</si>
  <si>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</si>
  <si>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</si>
  <si>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</si>
  <si>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</si>
  <si>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</si>
  <si>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</si>
  <si>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</si>
  <si>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</si>
  <si>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</si>
  <si>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</si>
  <si>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</si>
  <si>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</si>
  <si>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</si>
  <si>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</si>
  <si>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</si>
  <si>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</si>
  <si>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</si>
  <si>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</si>
  <si>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</si>
  <si>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</si>
  <si>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</si>
  <si>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</si>
  <si>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</si>
  <si>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</si>
  <si>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</si>
  <si>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</si>
  <si>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</si>
  <si>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</si>
  <si>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</si>
  <si>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</si>
  <si>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</si>
  <si>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</si>
  <si>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</si>
  <si>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</si>
  <si>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</si>
  <si>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</si>
  <si>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</si>
  <si>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</si>
  <si>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</si>
  <si>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</si>
  <si>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</si>
  <si>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</si>
  <si>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</si>
  <si>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</si>
  <si>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</si>
  <si>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</si>
  <si>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</si>
  <si>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</si>
  <si>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</si>
  <si>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</si>
  <si>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</si>
  <si>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</si>
  <si>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</si>
  <si>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</si>
  <si>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</si>
  <si>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</si>
  <si>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</si>
  <si>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</si>
  <si>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</si>
  <si>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</si>
  <si>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</si>
  <si>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</si>
  <si>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</si>
  <si>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</si>
  <si>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</si>
  <si>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</si>
  <si>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</si>
  <si>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</si>
  <si>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</si>
  <si>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</si>
  <si>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</si>
  <si>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</si>
  <si>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</si>
  <si>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</si>
  <si>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</si>
  <si>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</si>
  <si>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</si>
  <si>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</si>
  <si>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</si>
  <si>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</si>
  <si>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</si>
  <si>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</si>
  <si>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</si>
  <si>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</si>
  <si>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</si>
  <si>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</si>
  <si>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</si>
  <si>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</si>
  <si>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</si>
  <si>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</si>
  <si>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</si>
  <si>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</si>
  <si>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</si>
  <si>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</si>
  <si>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</si>
  <si>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</si>
  <si>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</si>
  <si>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</si>
  <si>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</si>
  <si>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</si>
  <si>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</si>
  <si>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</si>
  <si>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</si>
  <si>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</si>
  <si>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</si>
  <si>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</si>
  <si>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</si>
  <si>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</si>
  <si>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</si>
  <si>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</si>
  <si>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</si>
  <si>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</si>
  <si>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</si>
  <si>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</si>
  <si>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</si>
  <si>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</si>
  <si>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</si>
  <si>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</si>
  <si>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</si>
  <si>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</si>
  <si>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</si>
  <si>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</si>
  <si>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</si>
  <si>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</si>
  <si>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</si>
  <si>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</si>
  <si>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</si>
  <si>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</si>
  <si>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</si>
  <si>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</si>
  <si>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</si>
  <si>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</si>
  <si>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МБДОУ №4 </t>
  </si>
  <si>
    <t>Приобретение материалов для ремонта электрощитовой и кабельных линий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</si>
  <si>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</si>
  <si>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</si>
  <si>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</si>
  <si>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</si>
  <si>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</si>
  <si>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</si>
  <si>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</si>
  <si>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</si>
  <si>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</si>
  <si>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</si>
  <si>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</si>
  <si>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</si>
  <si>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</si>
  <si>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</si>
  <si>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</si>
  <si>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</si>
  <si>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</si>
  <si>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</si>
  <si>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</si>
  <si>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</si>
  <si>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</si>
  <si>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</si>
  <si>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</si>
  <si>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</si>
  <si>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</si>
  <si>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</si>
  <si>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</si>
  <si>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Содержание и функционирование бассейна</t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</si>
  <si>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</si>
  <si>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</si>
  <si>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</si>
  <si>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</si>
  <si>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</si>
  <si>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</si>
  <si>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</si>
  <si>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</si>
  <si>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</si>
  <si>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</si>
  <si>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</si>
  <si>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</si>
  <si>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</si>
  <si>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</si>
  <si>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</si>
  <si>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</si>
  <si>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</si>
  <si>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 xml:space="preserve"> МАУ ДО ЦРТДиЮ, МДОУ №63, СОШ №10,6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</si>
  <si>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</si>
  <si>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</si>
  <si>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</si>
  <si>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</si>
  <si>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</si>
  <si>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</si>
  <si>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r>
      <t xml:space="preserve">Основное мероприятие 5. </t>
    </r>
    <r>
      <rPr>
        <sz val="10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</si>
  <si>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0"/>
        <color theme="1"/>
        <rFont val="Times New Roman"/>
        <family val="1"/>
        <charset val="204"/>
      </rPr>
      <t>Основное мероприятие 6.</t>
    </r>
    <r>
      <rPr>
        <sz val="10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</si>
  <si>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4.</t>
    </r>
    <r>
      <rPr>
        <sz val="10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</si>
  <si>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>Основное мероприятие 7.</t>
    </r>
    <r>
      <rPr>
        <sz val="10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</si>
  <si>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t>2.3.3.</t>
  </si>
  <si>
    <t>Мероприятия по переоборудованию здания мастерских ООШ №9  в спорт. комплекс ДЮСШ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</si>
  <si>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</si>
  <si>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</si>
  <si>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</si>
  <si>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</si>
  <si>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</si>
  <si>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</si>
  <si>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</si>
  <si>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</si>
  <si>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</si>
  <si>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</si>
  <si>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</si>
  <si>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</si>
  <si>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</si>
  <si>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</si>
  <si>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</si>
  <si>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</si>
  <si>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</si>
  <si>
    <t>МБОУ СОШ №20, МАУ ДО ЦРТДиЮ</t>
  </si>
  <si>
    <t>Косметический ремонт в концертном зале</t>
  </si>
  <si>
    <t>МБУ ДМШ</t>
  </si>
  <si>
    <t>Ремонт крыльца с установкой пандуса</t>
  </si>
  <si>
    <t>МБДОУ №24,48,62</t>
  </si>
  <si>
    <t>МБОУ СОШ №11, ДОУ 16,62</t>
  </si>
  <si>
    <t>МБДОУ №16,4,15,19,24</t>
  </si>
  <si>
    <t>МБДОУ №15,20,62</t>
  </si>
  <si>
    <t>Замена светильников</t>
  </si>
  <si>
    <t>ДОУ №3,57</t>
  </si>
  <si>
    <t>Мероприятия по поддержке отрасли культуры в сфере образования</t>
  </si>
  <si>
    <t>2.3.4.</t>
  </si>
  <si>
    <t>2.3.5</t>
  </si>
  <si>
    <t>Разработка ПСД школы с.Зареченск, Белое Море</t>
  </si>
  <si>
    <t>Замена светильников к классным доскам, замена линолеума</t>
  </si>
  <si>
    <t>Мероприятия спортивной направленности</t>
  </si>
  <si>
    <t>Ремонт,устройство теневых навесов</t>
  </si>
  <si>
    <t>приложение 6.1 "Обеспечение деятельности учреждений в области физической культуры и спорта"</t>
  </si>
  <si>
    <t xml:space="preserve">План реализации подпрограммы 6"Обеспечение деятельности учреждений в области физической культуры и спорта" </t>
  </si>
  <si>
    <t>Всего  по подпрограмме 6 "Обеспечение деятельности учреждений в области культуры и спорта"</t>
  </si>
  <si>
    <t>Задача    1. "Осуществение подготовки высококвалифицированных спортсменов"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</si>
  <si>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"Обеспечение деятельности учреждений в области физической культуры и спорта"</t>
    </r>
  </si>
  <si>
    <t>Обеспечение деятельности учреждений в области физической культуры и спорта</t>
  </si>
  <si>
    <t>№6</t>
  </si>
  <si>
    <t>Установка 2-х ступенчатого  пластинчатого теплообменника, включая разработку ПСД</t>
  </si>
  <si>
    <t>Установка узла учета тепловой энергии</t>
  </si>
  <si>
    <t>Приобретение оборудования для проведения занятий по робототехнике</t>
  </si>
  <si>
    <t>Установка стеклопакетов</t>
  </si>
  <si>
    <t>Частичный ремонт фасада здания</t>
  </si>
  <si>
    <t>МАУ ДО МЦДТ Вега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</si>
</sst>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  <numFmt numFmtId="171" formatCode="0.0000"/>
  </numFmts>
  <fonts count="6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9" fontId="14" fillId="0" borderId="0" applyFont="0" applyFill="0" applyBorder="0" applyAlignment="0" applyProtection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49" fontId="36" fillId="0" borderId="29">
      <alignment horizontal="center" vertical="top" shrinkToFit="1"/>
    </xf>
    <xf numFmtId="4" fontId="36" fillId="0" borderId="29">
      <alignment horizontal="right" vertical="top" shrinkToFit="1"/>
    </xf>
    <xf numFmtId="49" fontId="36" fillId="0" borderId="29">
      <alignment horizontal="center" vertical="top" shrinkToFit="1"/>
    </xf>
    <xf numFmtId="0" fontId="60" fillId="0" borderId="0"/>
    <xf numFmtId="49" fontId="61" fillId="0" borderId="29">
      <alignment horizontal="center" vertical="top" shrinkToFit="1"/>
    </xf>
    <xf numFmtId="4" fontId="62" fillId="0" borderId="29">
      <alignment horizontal="right" vertical="top" shrinkToFit="1"/>
    </xf>
    <xf numFmtId="1" fontId="61" fillId="0" borderId="29">
      <alignment horizontal="center" vertical="top" shrinkToFit="1"/>
    </xf>
  </cellStyleXfs>
  <cellXfs count="1234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3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5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wrapText="1"/>
    </xf>
    <xf numFmtId="0" fontId="17" fillId="0" borderId="3" xfId="1" applyFont="1" applyBorder="1" applyAlignment="1">
      <alignment horizontal="center" vertical="center" wrapText="1"/>
    </xf>
    <xf numFmtId="166" fontId="19" fillId="4" borderId="2" xfId="1" applyNumberFormat="1" applyFont="1" applyFill="1" applyBorder="1" applyAlignment="1">
      <alignment horizontal="center"/>
    </xf>
    <xf numFmtId="0" fontId="12" fillId="4" borderId="5" xfId="1" applyFont="1" applyFill="1" applyBorder="1" applyAlignment="1">
      <alignment horizontal="left" wrapText="1"/>
    </xf>
    <xf numFmtId="166" fontId="7" fillId="6" borderId="2" xfId="1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7" fillId="0" borderId="3" xfId="1" applyFont="1" applyBorder="1" applyAlignment="1">
      <alignment horizontal="center" wrapText="1"/>
    </xf>
    <xf numFmtId="49" fontId="17" fillId="5" borderId="2" xfId="0" applyNumberFormat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center" wrapText="1"/>
    </xf>
    <xf numFmtId="0" fontId="17" fillId="5" borderId="8" xfId="1" applyFont="1" applyFill="1" applyBorder="1" applyAlignment="1">
      <alignment horizontal="center" wrapText="1"/>
    </xf>
    <xf numFmtId="49" fontId="17" fillId="6" borderId="2" xfId="0" applyNumberFormat="1" applyFont="1" applyFill="1" applyBorder="1" applyAlignment="1">
      <alignment horizontal="center"/>
    </xf>
    <xf numFmtId="0" fontId="17" fillId="6" borderId="5" xfId="1" applyFont="1" applyFill="1" applyBorder="1" applyAlignment="1">
      <alignment horizontal="left" wrapText="1"/>
    </xf>
    <xf numFmtId="0" fontId="12" fillId="6" borderId="5" xfId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0" fontId="12" fillId="0" borderId="5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49" fontId="17" fillId="4" borderId="5" xfId="1" applyNumberFormat="1" applyFont="1" applyFill="1" applyBorder="1" applyAlignment="1">
      <alignment horizontal="justify"/>
    </xf>
    <xf numFmtId="0" fontId="12" fillId="0" borderId="2" xfId="0" applyFont="1" applyBorder="1" applyAlignment="1">
      <alignment vertical="top" wrapText="1"/>
    </xf>
    <xf numFmtId="49" fontId="12" fillId="4" borderId="2" xfId="0" applyNumberFormat="1" applyFont="1" applyFill="1" applyBorder="1" applyAlignment="1">
      <alignment horizontal="center"/>
    </xf>
    <xf numFmtId="0" fontId="12" fillId="4" borderId="3" xfId="1" applyFont="1" applyFill="1" applyBorder="1" applyAlignment="1">
      <alignment horizontal="left" wrapText="1"/>
    </xf>
    <xf numFmtId="0" fontId="16" fillId="4" borderId="0" xfId="0" applyFont="1" applyFill="1"/>
    <xf numFmtId="0" fontId="24" fillId="4" borderId="5" xfId="1" applyFont="1" applyFill="1" applyBorder="1" applyAlignment="1">
      <alignment horizontal="center" wrapText="1"/>
    </xf>
    <xf numFmtId="49" fontId="17" fillId="4" borderId="3" xfId="1" applyNumberFormat="1" applyFont="1" applyFill="1" applyBorder="1" applyAlignment="1">
      <alignment horizontal="justify"/>
    </xf>
    <xf numFmtId="0" fontId="12" fillId="4" borderId="2" xfId="0" applyFont="1" applyFill="1" applyBorder="1"/>
    <xf numFmtId="49" fontId="23" fillId="6" borderId="5" xfId="1" applyNumberFormat="1" applyFont="1" applyFill="1" applyBorder="1" applyAlignment="1">
      <alignment horizontal="left" wrapText="1"/>
    </xf>
    <xf numFmtId="49" fontId="23" fillId="6" borderId="5" xfId="1" applyNumberFormat="1" applyFont="1" applyFill="1" applyBorder="1" applyAlignment="1">
      <alignment horizontal="center" wrapText="1"/>
    </xf>
    <xf numFmtId="49" fontId="12" fillId="8" borderId="2" xfId="0" applyNumberFormat="1" applyFont="1" applyFill="1" applyBorder="1" applyAlignment="1">
      <alignment horizontal="center"/>
    </xf>
    <xf numFmtId="49" fontId="12" fillId="4" borderId="5" xfId="1" applyNumberFormat="1" applyFont="1" applyFill="1" applyBorder="1" applyAlignment="1">
      <alignment wrapText="1"/>
    </xf>
    <xf numFmtId="49" fontId="12" fillId="8" borderId="7" xfId="0" applyNumberFormat="1" applyFont="1" applyFill="1" applyBorder="1" applyAlignment="1">
      <alignment horizontal="center"/>
    </xf>
    <xf numFmtId="0" fontId="12" fillId="8" borderId="2" xfId="1" applyFont="1" applyFill="1" applyBorder="1" applyAlignment="1">
      <alignment horizontal="left" wrapText="1"/>
    </xf>
    <xf numFmtId="0" fontId="17" fillId="8" borderId="4" xfId="1" applyFont="1" applyFill="1" applyBorder="1" applyAlignment="1">
      <alignment horizontal="center" wrapText="1"/>
    </xf>
    <xf numFmtId="0" fontId="12" fillId="8" borderId="4" xfId="1" applyFont="1" applyFill="1" applyBorder="1" applyAlignment="1">
      <alignment horizontal="left" wrapText="1"/>
    </xf>
    <xf numFmtId="0" fontId="12" fillId="0" borderId="5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center" wrapText="1"/>
    </xf>
    <xf numFmtId="49" fontId="17" fillId="6" borderId="5" xfId="1" applyNumberFormat="1" applyFont="1" applyFill="1" applyBorder="1" applyAlignment="1">
      <alignment horizontal="justify"/>
    </xf>
    <xf numFmtId="0" fontId="17" fillId="6" borderId="2" xfId="1" applyFont="1" applyFill="1" applyBorder="1" applyAlignment="1">
      <alignment horizontal="left" wrapText="1"/>
    </xf>
    <xf numFmtId="0" fontId="17" fillId="6" borderId="2" xfId="1" applyFont="1" applyFill="1" applyBorder="1" applyAlignment="1">
      <alignment horizontal="center" wrapText="1"/>
    </xf>
    <xf numFmtId="49" fontId="17" fillId="6" borderId="2" xfId="1" applyNumberFormat="1" applyFont="1" applyFill="1" applyBorder="1" applyAlignment="1">
      <alignment horizontal="justify"/>
    </xf>
    <xf numFmtId="0" fontId="12" fillId="4" borderId="4" xfId="1" applyFont="1" applyFill="1" applyBorder="1" applyAlignment="1">
      <alignment horizontal="left" wrapText="1"/>
    </xf>
    <xf numFmtId="0" fontId="17" fillId="6" borderId="5" xfId="1" applyFont="1" applyFill="1" applyBorder="1" applyAlignment="1">
      <alignment wrapText="1"/>
    </xf>
    <xf numFmtId="0" fontId="12" fillId="0" borderId="5" xfId="1" applyFont="1" applyBorder="1" applyAlignment="1">
      <alignment wrapText="1"/>
    </xf>
    <xf numFmtId="0" fontId="12" fillId="0" borderId="5" xfId="1" applyFont="1" applyBorder="1" applyAlignment="1">
      <alignment horizontal="center" wrapText="1"/>
    </xf>
    <xf numFmtId="0" fontId="12" fillId="0" borderId="5" xfId="1" applyFont="1" applyFill="1" applyBorder="1" applyAlignment="1">
      <alignment wrapText="1"/>
    </xf>
    <xf numFmtId="0" fontId="17" fillId="0" borderId="5" xfId="1" applyFont="1" applyFill="1" applyBorder="1" applyAlignment="1">
      <alignment wrapText="1"/>
    </xf>
    <xf numFmtId="0" fontId="12" fillId="0" borderId="3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wrapText="1"/>
    </xf>
    <xf numFmtId="0" fontId="17" fillId="0" borderId="2" xfId="1" applyFont="1" applyFill="1" applyBorder="1" applyAlignment="1">
      <alignment wrapText="1"/>
    </xf>
    <xf numFmtId="0" fontId="15" fillId="0" borderId="0" xfId="0" applyFont="1" applyFill="1"/>
    <xf numFmtId="0" fontId="12" fillId="6" borderId="2" xfId="1" applyFont="1" applyFill="1" applyBorder="1" applyAlignment="1">
      <alignment wrapText="1"/>
    </xf>
    <xf numFmtId="0" fontId="15" fillId="0" borderId="0" xfId="0" applyFont="1" applyAlignment="1">
      <alignment horizontal="center"/>
    </xf>
    <xf numFmtId="49" fontId="22" fillId="3" borderId="5" xfId="1" applyNumberFormat="1" applyFont="1" applyFill="1" applyBorder="1" applyAlignment="1">
      <alignment horizontal="justify"/>
    </xf>
    <xf numFmtId="0" fontId="17" fillId="9" borderId="4" xfId="1" applyFont="1" applyFill="1" applyBorder="1" applyAlignment="1">
      <alignment horizontal="center" wrapText="1"/>
    </xf>
    <xf numFmtId="49" fontId="17" fillId="9" borderId="4" xfId="1" applyNumberFormat="1" applyFont="1" applyFill="1" applyBorder="1" applyAlignment="1">
      <alignment horizontal="justify"/>
    </xf>
    <xf numFmtId="49" fontId="12" fillId="9" borderId="2" xfId="0" applyNumberFormat="1" applyFont="1" applyFill="1" applyBorder="1" applyAlignment="1">
      <alignment horizontal="center"/>
    </xf>
    <xf numFmtId="0" fontId="12" fillId="9" borderId="4" xfId="1" applyFont="1" applyFill="1" applyBorder="1" applyAlignment="1">
      <alignment horizontal="left" wrapText="1"/>
    </xf>
    <xf numFmtId="0" fontId="12" fillId="9" borderId="4" xfId="1" applyFont="1" applyFill="1" applyBorder="1" applyAlignment="1">
      <alignment horizontal="center" wrapText="1"/>
    </xf>
    <xf numFmtId="49" fontId="12" fillId="9" borderId="4" xfId="1" applyNumberFormat="1" applyFont="1" applyFill="1" applyBorder="1" applyAlignment="1">
      <alignment horizontal="justify"/>
    </xf>
    <xf numFmtId="0" fontId="12" fillId="9" borderId="5" xfId="1" applyFont="1" applyFill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9" borderId="2" xfId="0" applyFont="1" applyFill="1" applyBorder="1"/>
    <xf numFmtId="0" fontId="26" fillId="9" borderId="2" xfId="0" applyFont="1" applyFill="1" applyBorder="1" applyAlignment="1">
      <alignment wrapText="1"/>
    </xf>
    <xf numFmtId="0" fontId="12" fillId="9" borderId="2" xfId="0" applyFont="1" applyFill="1" applyBorder="1" applyAlignment="1">
      <alignment wrapText="1"/>
    </xf>
    <xf numFmtId="0" fontId="12" fillId="9" borderId="2" xfId="1" applyFont="1" applyFill="1" applyBorder="1" applyAlignment="1">
      <alignment wrapText="1"/>
    </xf>
    <xf numFmtId="0" fontId="12" fillId="0" borderId="0" xfId="0" applyFont="1"/>
    <xf numFmtId="0" fontId="17" fillId="0" borderId="0" xfId="0" applyFont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6" fillId="4" borderId="0" xfId="0" applyFont="1" applyFill="1" applyBorder="1"/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 wrapText="1"/>
    </xf>
    <xf numFmtId="0" fontId="17" fillId="5" borderId="2" xfId="0" applyFont="1" applyFill="1" applyBorder="1"/>
    <xf numFmtId="0" fontId="17" fillId="5" borderId="8" xfId="1" applyFont="1" applyFill="1" applyBorder="1" applyAlignment="1">
      <alignment horizontal="left" wrapText="1"/>
    </xf>
    <xf numFmtId="16" fontId="12" fillId="4" borderId="2" xfId="0" applyNumberFormat="1" applyFont="1" applyFill="1" applyBorder="1"/>
    <xf numFmtId="0" fontId="12" fillId="4" borderId="2" xfId="1" applyFont="1" applyFill="1" applyBorder="1" applyAlignment="1">
      <alignment horizontal="center" vertical="center" wrapText="1"/>
    </xf>
    <xf numFmtId="0" fontId="17" fillId="4" borderId="2" xfId="0" applyFont="1" applyFill="1" applyBorder="1"/>
    <xf numFmtId="0" fontId="26" fillId="4" borderId="5" xfId="1" applyFont="1" applyFill="1" applyBorder="1" applyAlignment="1">
      <alignment horizontal="left" wrapText="1"/>
    </xf>
    <xf numFmtId="0" fontId="26" fillId="0" borderId="5" xfId="1" applyFont="1" applyFill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26" fillId="4" borderId="2" xfId="1" applyFont="1" applyFill="1" applyBorder="1" applyAlignment="1">
      <alignment horizontal="left" wrapText="1"/>
    </xf>
    <xf numFmtId="0" fontId="26" fillId="4" borderId="3" xfId="1" applyFont="1" applyFill="1" applyBorder="1" applyAlignment="1">
      <alignment horizontal="left" wrapText="1"/>
    </xf>
    <xf numFmtId="0" fontId="17" fillId="0" borderId="2" xfId="0" applyFont="1" applyBorder="1"/>
    <xf numFmtId="0" fontId="12" fillId="0" borderId="3" xfId="1" applyFont="1" applyFill="1" applyBorder="1" applyAlignment="1">
      <alignment horizontal="left" wrapText="1"/>
    </xf>
    <xf numFmtId="0" fontId="17" fillId="0" borderId="5" xfId="1" applyFont="1" applyFill="1" applyBorder="1" applyAlignment="1">
      <alignment horizontal="left" wrapText="1"/>
    </xf>
    <xf numFmtId="14" fontId="17" fillId="0" borderId="2" xfId="0" applyNumberFormat="1" applyFont="1" applyBorder="1"/>
    <xf numFmtId="2" fontId="17" fillId="0" borderId="2" xfId="0" applyNumberFormat="1" applyFont="1" applyFill="1" applyBorder="1"/>
    <xf numFmtId="0" fontId="22" fillId="0" borderId="2" xfId="0" applyFont="1" applyBorder="1"/>
    <xf numFmtId="16" fontId="12" fillId="0" borderId="2" xfId="0" applyNumberFormat="1" applyFont="1" applyFill="1" applyBorder="1"/>
    <xf numFmtId="0" fontId="17" fillId="0" borderId="2" xfId="1" applyFont="1" applyFill="1" applyBorder="1" applyAlignment="1">
      <alignment horizontal="left" wrapText="1"/>
    </xf>
    <xf numFmtId="16" fontId="26" fillId="4" borderId="2" xfId="0" applyNumberFormat="1" applyFont="1" applyFill="1" applyBorder="1"/>
    <xf numFmtId="0" fontId="23" fillId="4" borderId="2" xfId="1" applyFont="1" applyFill="1" applyBorder="1" applyAlignment="1">
      <alignment horizontal="left" wrapText="1"/>
    </xf>
    <xf numFmtId="0" fontId="12" fillId="0" borderId="0" xfId="0" applyFont="1" applyBorder="1"/>
    <xf numFmtId="0" fontId="12" fillId="4" borderId="0" xfId="1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5" fontId="16" fillId="4" borderId="0" xfId="0" applyNumberFormat="1" applyFont="1" applyFill="1" applyAlignment="1">
      <alignment horizontal="center"/>
    </xf>
    <xf numFmtId="0" fontId="16" fillId="0" borderId="0" xfId="0" applyFont="1" applyFill="1"/>
    <xf numFmtId="165" fontId="16" fillId="0" borderId="0" xfId="0" applyNumberFormat="1" applyFont="1" applyFill="1" applyAlignment="1">
      <alignment horizontal="center"/>
    </xf>
    <xf numFmtId="49" fontId="23" fillId="4" borderId="2" xfId="0" applyNumberFormat="1" applyFont="1" applyFill="1" applyBorder="1" applyAlignment="1">
      <alignment horizontal="center"/>
    </xf>
    <xf numFmtId="0" fontId="26" fillId="4" borderId="4" xfId="1" applyFont="1" applyFill="1" applyBorder="1" applyAlignment="1">
      <alignment wrapText="1"/>
    </xf>
    <xf numFmtId="0" fontId="26" fillId="4" borderId="5" xfId="1" applyFont="1" applyFill="1" applyBorder="1" applyAlignment="1">
      <alignment wrapText="1"/>
    </xf>
    <xf numFmtId="49" fontId="26" fillId="4" borderId="5" xfId="1" applyNumberFormat="1" applyFont="1" applyFill="1" applyBorder="1" applyAlignment="1">
      <alignment horizontal="justify"/>
    </xf>
    <xf numFmtId="0" fontId="15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7" fillId="9" borderId="5" xfId="1" applyFont="1" applyFill="1" applyBorder="1" applyAlignment="1">
      <alignment horizontal="left" wrapText="1"/>
    </xf>
    <xf numFmtId="166" fontId="7" fillId="4" borderId="2" xfId="0" applyNumberFormat="1" applyFont="1" applyFill="1" applyBorder="1"/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4" borderId="0" xfId="0" applyFont="1" applyFill="1" applyAlignment="1">
      <alignment horizontal="left"/>
    </xf>
    <xf numFmtId="167" fontId="14" fillId="4" borderId="0" xfId="0" applyNumberFormat="1" applyFont="1" applyFill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3" fontId="10" fillId="4" borderId="2" xfId="1" applyNumberFormat="1" applyFont="1" applyFill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5" fontId="9" fillId="4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166" fontId="9" fillId="4" borderId="11" xfId="1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0" fontId="30" fillId="0" borderId="2" xfId="0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166" fontId="10" fillId="8" borderId="2" xfId="1" applyNumberFormat="1" applyFont="1" applyFill="1" applyBorder="1" applyAlignment="1">
      <alignment horizontal="right"/>
    </xf>
    <xf numFmtId="166" fontId="10" fillId="8" borderId="11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9" fillId="8" borderId="11" xfId="1" applyNumberFormat="1" applyFont="1" applyFill="1" applyBorder="1" applyAlignment="1">
      <alignment horizontal="right"/>
    </xf>
    <xf numFmtId="166" fontId="1" fillId="6" borderId="2" xfId="0" applyNumberFormat="1" applyFont="1" applyFill="1" applyBorder="1" applyAlignment="1">
      <alignment horizontal="right"/>
    </xf>
    <xf numFmtId="166" fontId="9" fillId="9" borderId="2" xfId="1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18" fillId="4" borderId="2" xfId="1" applyNumberFormat="1" applyFont="1" applyFill="1" applyBorder="1" applyAlignment="1">
      <alignment horizontal="right"/>
    </xf>
    <xf numFmtId="166" fontId="18" fillId="4" borderId="11" xfId="1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right"/>
    </xf>
    <xf numFmtId="0" fontId="12" fillId="0" borderId="2" xfId="0" applyFont="1" applyFill="1" applyBorder="1"/>
    <xf numFmtId="0" fontId="10" fillId="0" borderId="1" xfId="1" applyFont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0" xfId="0" applyFont="1"/>
    <xf numFmtId="166" fontId="32" fillId="5" borderId="2" xfId="1" applyNumberFormat="1" applyFont="1" applyFill="1" applyBorder="1" applyAlignment="1">
      <alignment horizontal="center"/>
    </xf>
    <xf numFmtId="166" fontId="8" fillId="4" borderId="0" xfId="1" applyNumberFormat="1" applyFont="1" applyFill="1" applyBorder="1" applyAlignment="1">
      <alignment horizontal="center"/>
    </xf>
    <xf numFmtId="0" fontId="14" fillId="4" borderId="0" xfId="0" applyFont="1" applyFill="1" applyBorder="1"/>
    <xf numFmtId="0" fontId="14" fillId="0" borderId="0" xfId="0" applyFont="1"/>
    <xf numFmtId="166" fontId="8" fillId="9" borderId="2" xfId="1" applyNumberFormat="1" applyFont="1" applyFill="1" applyBorder="1" applyAlignment="1">
      <alignment horizontal="center"/>
    </xf>
    <xf numFmtId="164" fontId="4" fillId="9" borderId="0" xfId="0" applyNumberFormat="1" applyFont="1" applyFill="1"/>
    <xf numFmtId="4" fontId="4" fillId="9" borderId="0" xfId="0" applyNumberFormat="1" applyFont="1" applyFill="1"/>
    <xf numFmtId="9" fontId="4" fillId="9" borderId="0" xfId="0" applyNumberFormat="1" applyFont="1" applyFill="1"/>
    <xf numFmtId="0" fontId="4" fillId="9" borderId="0" xfId="0" applyFont="1" applyFill="1"/>
    <xf numFmtId="167" fontId="7" fillId="4" borderId="2" xfId="1" applyNumberFormat="1" applyFont="1" applyFill="1" applyBorder="1" applyAlignment="1">
      <alignment horizontal="center"/>
    </xf>
    <xf numFmtId="166" fontId="19" fillId="0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166" fontId="32" fillId="4" borderId="2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4" borderId="0" xfId="0" applyNumberFormat="1" applyFont="1" applyFill="1" applyAlignment="1">
      <alignment horizontal="center"/>
    </xf>
    <xf numFmtId="0" fontId="14" fillId="0" borderId="0" xfId="0" applyFont="1" applyFill="1"/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8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9" fillId="4" borderId="0" xfId="8" applyNumberFormat="1" applyFont="1" applyFill="1" applyBorder="1" applyAlignment="1">
      <alignment horizontal="center" vertical="center" shrinkToFit="1"/>
    </xf>
    <xf numFmtId="49" fontId="29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20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8" fillId="0" borderId="2" xfId="0" applyNumberFormat="1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7" fillId="0" borderId="2" xfId="0" applyFont="1" applyFill="1" applyBorder="1"/>
    <xf numFmtId="49" fontId="17" fillId="4" borderId="0" xfId="1" applyNumberFormat="1" applyFont="1" applyFill="1" applyBorder="1" applyAlignment="1">
      <alignment horizontal="justify"/>
    </xf>
    <xf numFmtId="0" fontId="30" fillId="0" borderId="11" xfId="0" applyFont="1" applyBorder="1" applyAlignment="1">
      <alignment horizontal="right"/>
    </xf>
    <xf numFmtId="0" fontId="22" fillId="0" borderId="2" xfId="0" applyFont="1" applyFill="1" applyBorder="1"/>
    <xf numFmtId="4" fontId="8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2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166" fontId="19" fillId="0" borderId="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23" fillId="0" borderId="5" xfId="1" applyFont="1" applyFill="1" applyBorder="1" applyAlignment="1">
      <alignment horizontal="left" wrapText="1"/>
    </xf>
    <xf numFmtId="0" fontId="12" fillId="0" borderId="5" xfId="1" applyFont="1" applyBorder="1" applyAlignment="1">
      <alignment vertical="top" wrapText="1"/>
    </xf>
    <xf numFmtId="0" fontId="23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5" fillId="4" borderId="0" xfId="0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5" fillId="4" borderId="0" xfId="0" applyNumberFormat="1" applyFont="1" applyFill="1"/>
    <xf numFmtId="49" fontId="27" fillId="4" borderId="0" xfId="5" applyNumberFormat="1" applyFont="1" applyFill="1" applyBorder="1" applyAlignment="1">
      <alignment horizontal="center" vertical="center" shrinkToFit="1"/>
    </xf>
    <xf numFmtId="49" fontId="27" fillId="4" borderId="0" xfId="6" applyNumberFormat="1" applyFont="1" applyFill="1" applyBorder="1" applyAlignment="1">
      <alignment horizontal="center" vertical="center" shrinkToFit="1"/>
    </xf>
    <xf numFmtId="49" fontId="35" fillId="4" borderId="0" xfId="7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/>
    </xf>
    <xf numFmtId="49" fontId="35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7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/>
    </xf>
    <xf numFmtId="0" fontId="0" fillId="4" borderId="2" xfId="0" applyFont="1" applyFill="1" applyBorder="1"/>
    <xf numFmtId="0" fontId="10" fillId="9" borderId="1" xfId="0" applyFont="1" applyFill="1" applyBorder="1" applyAlignment="1">
      <alignment vertical="center"/>
    </xf>
    <xf numFmtId="0" fontId="9" fillId="9" borderId="1" xfId="1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left" wrapText="1"/>
    </xf>
    <xf numFmtId="0" fontId="6" fillId="9" borderId="2" xfId="1" applyFont="1" applyFill="1" applyBorder="1" applyAlignment="1">
      <alignment horizontal="left" wrapText="1"/>
    </xf>
    <xf numFmtId="166" fontId="7" fillId="9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7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10" fillId="0" borderId="2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top" wrapText="1"/>
    </xf>
    <xf numFmtId="0" fontId="26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9" borderId="2" xfId="0" applyFont="1" applyFill="1" applyBorder="1"/>
    <xf numFmtId="0" fontId="18" fillId="9" borderId="2" xfId="1" applyFont="1" applyFill="1" applyBorder="1" applyAlignment="1">
      <alignment horizontal="left" wrapText="1"/>
    </xf>
    <xf numFmtId="0" fontId="26" fillId="9" borderId="2" xfId="1" applyFont="1" applyFill="1" applyBorder="1" applyAlignment="1">
      <alignment horizontal="left" wrapText="1"/>
    </xf>
    <xf numFmtId="0" fontId="38" fillId="9" borderId="2" xfId="1" applyFont="1" applyFill="1" applyBorder="1" applyAlignment="1">
      <alignment horizontal="left" wrapText="1"/>
    </xf>
    <xf numFmtId="165" fontId="19" fillId="9" borderId="2" xfId="1" applyNumberFormat="1" applyFont="1" applyFill="1" applyBorder="1" applyAlignment="1">
      <alignment horizontal="center"/>
    </xf>
    <xf numFmtId="165" fontId="19" fillId="9" borderId="2" xfId="0" applyNumberFormat="1" applyFont="1" applyFill="1" applyBorder="1" applyAlignment="1">
      <alignment horizontal="center"/>
    </xf>
    <xf numFmtId="165" fontId="19" fillId="9" borderId="2" xfId="0" applyNumberFormat="1" applyFont="1" applyFill="1" applyBorder="1"/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2" fillId="9" borderId="2" xfId="1" applyFont="1" applyFill="1" applyBorder="1" applyAlignment="1">
      <alignment horizontal="left" wrapText="1"/>
    </xf>
    <xf numFmtId="165" fontId="7" fillId="9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2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center" wrapText="1"/>
    </xf>
    <xf numFmtId="0" fontId="16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" xfId="1" applyFont="1" applyFill="1" applyBorder="1" applyAlignment="1">
      <alignment horizontal="left" wrapText="1"/>
    </xf>
    <xf numFmtId="0" fontId="38" fillId="4" borderId="0" xfId="1" applyFont="1" applyFill="1" applyBorder="1" applyAlignment="1">
      <alignment horizontal="left" wrapText="1"/>
    </xf>
    <xf numFmtId="0" fontId="20" fillId="4" borderId="2" xfId="0" applyFont="1" applyFill="1" applyBorder="1"/>
    <xf numFmtId="0" fontId="20" fillId="4" borderId="0" xfId="0" applyFont="1" applyFill="1"/>
    <xf numFmtId="0" fontId="9" fillId="0" borderId="2" xfId="0" applyFont="1" applyBorder="1" applyAlignment="1">
      <alignment horizont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/>
    </xf>
    <xf numFmtId="0" fontId="12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7" fillId="5" borderId="5" xfId="1" applyFont="1" applyFill="1" applyBorder="1" applyAlignment="1">
      <alignment horizontal="left" wrapText="1"/>
    </xf>
    <xf numFmtId="0" fontId="26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7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1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3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3" fillId="6" borderId="2" xfId="1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7" fillId="5" borderId="4" xfId="1" applyFont="1" applyFill="1" applyBorder="1" applyAlignment="1">
      <alignment horizontal="left" wrapText="1"/>
    </xf>
    <xf numFmtId="0" fontId="23" fillId="5" borderId="2" xfId="1" applyFont="1" applyFill="1" applyBorder="1" applyAlignment="1">
      <alignment wrapText="1"/>
    </xf>
    <xf numFmtId="0" fontId="12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1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2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8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7" fillId="5" borderId="5" xfId="1" applyNumberFormat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49" fontId="17" fillId="5" borderId="2" xfId="0" applyNumberFormat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49" fontId="10" fillId="11" borderId="10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49" fontId="9" fillId="11" borderId="42" xfId="0" applyNumberFormat="1" applyFont="1" applyFill="1" applyBorder="1" applyAlignment="1">
      <alignment horizontal="center" vertical="center"/>
    </xf>
    <xf numFmtId="4" fontId="7" fillId="11" borderId="43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/>
    </xf>
    <xf numFmtId="4" fontId="9" fillId="11" borderId="40" xfId="0" applyNumberFormat="1" applyFont="1" applyFill="1" applyBorder="1" applyAlignment="1">
      <alignment horizontal="center"/>
    </xf>
    <xf numFmtId="49" fontId="10" fillId="11" borderId="2" xfId="0" applyNumberFormat="1" applyFont="1" applyFill="1" applyBorder="1" applyAlignment="1">
      <alignment horizontal="center" vertical="center"/>
    </xf>
    <xf numFmtId="4" fontId="7" fillId="11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2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2" fontId="17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2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2" fillId="0" borderId="2" xfId="10" applyNumberFormat="1" applyFont="1" applyBorder="1" applyProtection="1">
      <alignment horizontal="center" vertical="top" shrinkToFit="1"/>
    </xf>
    <xf numFmtId="167" fontId="43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3" fillId="0" borderId="2" xfId="10" applyNumberFormat="1" applyFont="1" applyBorder="1" applyProtection="1">
      <alignment horizontal="center" vertical="top" shrinkToFit="1"/>
    </xf>
    <xf numFmtId="49" fontId="43" fillId="0" borderId="29" xfId="10" applyNumberFormat="1" applyFont="1" applyProtection="1">
      <alignment horizontal="center" vertical="top" shrinkToFit="1"/>
    </xf>
    <xf numFmtId="49" fontId="44" fillId="0" borderId="29" xfId="10" applyNumberFormat="1" applyFont="1" applyProtection="1">
      <alignment horizontal="center" vertical="top" shrinkToFit="1"/>
    </xf>
    <xf numFmtId="167" fontId="44" fillId="0" borderId="29" xfId="10" applyNumberFormat="1" applyFont="1" applyAlignment="1" applyProtection="1">
      <alignment horizontal="right" vertical="top" shrinkToFit="1"/>
    </xf>
    <xf numFmtId="49" fontId="44" fillId="0" borderId="2" xfId="10" applyNumberFormat="1" applyFont="1" applyBorder="1" applyProtection="1">
      <alignment horizontal="center" vertical="top" shrinkToFit="1"/>
    </xf>
    <xf numFmtId="167" fontId="44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3" fillId="0" borderId="2" xfId="10" applyNumberFormat="1" applyFont="1" applyBorder="1" applyAlignment="1" applyProtection="1">
      <alignment horizontal="center" shrinkToFit="1"/>
    </xf>
    <xf numFmtId="49" fontId="44" fillId="0" borderId="52" xfId="10" applyNumberFormat="1" applyFont="1" applyBorder="1" applyProtection="1">
      <alignment horizontal="center" vertical="top" shrinkToFit="1"/>
    </xf>
    <xf numFmtId="49" fontId="43" fillId="0" borderId="52" xfId="10" applyNumberFormat="1" applyFont="1" applyBorder="1" applyProtection="1">
      <alignment horizontal="center" vertical="top" shrinkToFit="1"/>
    </xf>
    <xf numFmtId="49" fontId="44" fillId="0" borderId="5" xfId="10" applyNumberFormat="1" applyFont="1" applyBorder="1" applyProtection="1">
      <alignment horizontal="center" vertical="top" shrinkToFit="1"/>
    </xf>
    <xf numFmtId="49" fontId="43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5" fillId="0" borderId="2" xfId="0" applyFont="1" applyBorder="1"/>
    <xf numFmtId="0" fontId="45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8" fillId="0" borderId="2" xfId="0" applyNumberFormat="1" applyFont="1" applyBorder="1"/>
    <xf numFmtId="165" fontId="9" fillId="0" borderId="2" xfId="0" applyNumberFormat="1" applyFont="1" applyBorder="1"/>
    <xf numFmtId="0" fontId="16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9" fillId="2" borderId="2" xfId="1" applyNumberFormat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30" fillId="0" borderId="2" xfId="0" applyFont="1" applyBorder="1"/>
    <xf numFmtId="0" fontId="18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4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0" fontId="9" fillId="0" borderId="1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165" fontId="18" fillId="0" borderId="2" xfId="0" applyNumberFormat="1" applyFont="1" applyFill="1" applyBorder="1"/>
    <xf numFmtId="0" fontId="18" fillId="0" borderId="2" xfId="0" applyFont="1" applyFill="1" applyBorder="1"/>
    <xf numFmtId="166" fontId="18" fillId="0" borderId="2" xfId="0" applyNumberFormat="1" applyFont="1" applyFill="1" applyBorder="1"/>
    <xf numFmtId="166" fontId="10" fillId="0" borderId="11" xfId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6" fontId="18" fillId="0" borderId="11" xfId="1" applyNumberFormat="1" applyFont="1" applyFill="1" applyBorder="1" applyAlignment="1">
      <alignment horizontal="right"/>
    </xf>
    <xf numFmtId="166" fontId="18" fillId="0" borderId="2" xfId="1" applyNumberFormat="1" applyFont="1" applyFill="1" applyBorder="1" applyAlignment="1">
      <alignment horizontal="right"/>
    </xf>
    <xf numFmtId="0" fontId="7" fillId="0" borderId="0" xfId="0" applyFont="1" applyFill="1"/>
    <xf numFmtId="165" fontId="7" fillId="0" borderId="2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20" fillId="0" borderId="2" xfId="0" applyFont="1" applyFill="1" applyBorder="1"/>
    <xf numFmtId="0" fontId="19" fillId="0" borderId="2" xfId="0" applyFont="1" applyFill="1" applyBorder="1"/>
    <xf numFmtId="2" fontId="7" fillId="0" borderId="2" xfId="0" applyNumberFormat="1" applyFont="1" applyFill="1" applyBorder="1"/>
    <xf numFmtId="2" fontId="9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19" fillId="0" borderId="2" xfId="0" applyNumberFormat="1" applyFont="1" applyFill="1" applyBorder="1" applyAlignment="1"/>
    <xf numFmtId="165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166" fontId="8" fillId="12" borderId="2" xfId="1" applyNumberFormat="1" applyFont="1" applyFill="1" applyBorder="1" applyAlignment="1">
      <alignment horizontal="center"/>
    </xf>
    <xf numFmtId="0" fontId="14" fillId="12" borderId="0" xfId="0" applyFont="1" applyFill="1"/>
    <xf numFmtId="166" fontId="8" fillId="12" borderId="2" xfId="0" applyNumberFormat="1" applyFont="1" applyFill="1" applyBorder="1"/>
    <xf numFmtId="165" fontId="8" fillId="12" borderId="2" xfId="0" applyNumberFormat="1" applyFont="1" applyFill="1" applyBorder="1" applyAlignment="1">
      <alignment horizontal="right"/>
    </xf>
    <xf numFmtId="166" fontId="8" fillId="12" borderId="2" xfId="1" applyNumberFormat="1" applyFont="1" applyFill="1" applyBorder="1" applyAlignment="1">
      <alignment horizontal="right"/>
    </xf>
    <xf numFmtId="0" fontId="17" fillId="12" borderId="2" xfId="0" applyFont="1" applyFill="1" applyBorder="1"/>
    <xf numFmtId="0" fontId="12" fillId="12" borderId="5" xfId="1" applyFont="1" applyFill="1" applyBorder="1" applyAlignment="1">
      <alignment horizontal="left" wrapText="1"/>
    </xf>
    <xf numFmtId="0" fontId="17" fillId="12" borderId="2" xfId="1" applyFont="1" applyFill="1" applyBorder="1" applyAlignment="1">
      <alignment horizontal="left" wrapText="1"/>
    </xf>
    <xf numFmtId="0" fontId="7" fillId="12" borderId="2" xfId="0" applyFont="1" applyFill="1" applyBorder="1"/>
    <xf numFmtId="0" fontId="9" fillId="12" borderId="2" xfId="0" applyFont="1" applyFill="1" applyBorder="1"/>
    <xf numFmtId="166" fontId="10" fillId="12" borderId="2" xfId="1" applyNumberFormat="1" applyFont="1" applyFill="1" applyBorder="1" applyAlignment="1">
      <alignment horizontal="center"/>
    </xf>
    <xf numFmtId="166" fontId="32" fillId="12" borderId="2" xfId="1" applyNumberFormat="1" applyFont="1" applyFill="1" applyBorder="1" applyAlignment="1">
      <alignment horizontal="center"/>
    </xf>
    <xf numFmtId="166" fontId="32" fillId="0" borderId="2" xfId="1" applyNumberFormat="1" applyFont="1" applyFill="1" applyBorder="1" applyAlignment="1">
      <alignment horizontal="center"/>
    </xf>
    <xf numFmtId="2" fontId="17" fillId="12" borderId="2" xfId="0" applyNumberFormat="1" applyFont="1" applyFill="1" applyBorder="1"/>
    <xf numFmtId="0" fontId="17" fillId="12" borderId="5" xfId="1" applyFont="1" applyFill="1" applyBorder="1" applyAlignment="1">
      <alignment horizontal="left" vertical="top" wrapText="1"/>
    </xf>
    <xf numFmtId="0" fontId="17" fillId="12" borderId="5" xfId="1" applyFont="1" applyFill="1" applyBorder="1" applyAlignment="1">
      <alignment horizontal="left"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0" fontId="9" fillId="0" borderId="5" xfId="1" applyFont="1" applyFill="1" applyBorder="1" applyAlignment="1">
      <alignment horizontal="left" wrapText="1"/>
    </xf>
    <xf numFmtId="0" fontId="23" fillId="12" borderId="5" xfId="1" applyFont="1" applyFill="1" applyBorder="1" applyAlignment="1">
      <alignment horizontal="left" wrapText="1"/>
    </xf>
    <xf numFmtId="49" fontId="17" fillId="12" borderId="5" xfId="1" applyNumberFormat="1" applyFont="1" applyFill="1" applyBorder="1" applyAlignment="1">
      <alignment horizontal="left" wrapText="1"/>
    </xf>
    <xf numFmtId="166" fontId="8" fillId="12" borderId="2" xfId="0" applyNumberFormat="1" applyFont="1" applyFill="1" applyBorder="1" applyAlignment="1">
      <alignment horizontal="right"/>
    </xf>
    <xf numFmtId="49" fontId="17" fillId="5" borderId="2" xfId="1" applyNumberFormat="1" applyFont="1" applyFill="1" applyBorder="1" applyAlignment="1">
      <alignment horizontal="left" wrapText="1"/>
    </xf>
    <xf numFmtId="0" fontId="20" fillId="5" borderId="0" xfId="0" applyFont="1" applyFill="1"/>
    <xf numFmtId="166" fontId="32" fillId="5" borderId="2" xfId="0" applyNumberFormat="1" applyFont="1" applyFill="1" applyBorder="1"/>
    <xf numFmtId="0" fontId="14" fillId="5" borderId="0" xfId="0" applyFont="1" applyFill="1" applyBorder="1"/>
    <xf numFmtId="0" fontId="14" fillId="5" borderId="0" xfId="0" applyFont="1" applyFill="1"/>
    <xf numFmtId="16" fontId="26" fillId="5" borderId="2" xfId="0" applyNumberFormat="1" applyFont="1" applyFill="1" applyBorder="1"/>
    <xf numFmtId="0" fontId="23" fillId="5" borderId="2" xfId="1" applyFont="1" applyFill="1" applyBorder="1" applyAlignment="1">
      <alignment horizontal="left" wrapText="1"/>
    </xf>
    <xf numFmtId="0" fontId="7" fillId="5" borderId="2" xfId="0" applyFont="1" applyFill="1" applyBorder="1"/>
    <xf numFmtId="0" fontId="8" fillId="5" borderId="2" xfId="0" applyFont="1" applyFill="1" applyBorder="1"/>
    <xf numFmtId="0" fontId="16" fillId="5" borderId="2" xfId="0" applyFont="1" applyFill="1" applyBorder="1"/>
    <xf numFmtId="0" fontId="9" fillId="5" borderId="2" xfId="0" applyFont="1" applyFill="1" applyBorder="1"/>
    <xf numFmtId="167" fontId="7" fillId="0" borderId="2" xfId="1" applyNumberFormat="1" applyFont="1" applyFill="1" applyBorder="1" applyAlignment="1">
      <alignment horizontal="center"/>
    </xf>
    <xf numFmtId="0" fontId="23" fillId="0" borderId="2" xfId="0" applyFont="1" applyFill="1" applyBorder="1"/>
    <xf numFmtId="0" fontId="10" fillId="12" borderId="2" xfId="0" applyFont="1" applyFill="1" applyBorder="1"/>
    <xf numFmtId="0" fontId="10" fillId="12" borderId="2" xfId="1" applyFont="1" applyFill="1" applyBorder="1" applyAlignment="1">
      <alignment horizontal="left" wrapText="1"/>
    </xf>
    <xf numFmtId="0" fontId="9" fillId="12" borderId="2" xfId="1" applyFont="1" applyFill="1" applyBorder="1" applyAlignment="1">
      <alignment horizontal="left" wrapText="1"/>
    </xf>
    <xf numFmtId="0" fontId="6" fillId="12" borderId="2" xfId="1" applyFont="1" applyFill="1" applyBorder="1" applyAlignment="1">
      <alignment horizontal="left" wrapText="1"/>
    </xf>
    <xf numFmtId="166" fontId="7" fillId="12" borderId="2" xfId="1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165" fontId="7" fillId="12" borderId="2" xfId="0" applyNumberFormat="1" applyFont="1" applyFill="1" applyBorder="1" applyAlignment="1">
      <alignment horizontal="center"/>
    </xf>
    <xf numFmtId="166" fontId="9" fillId="12" borderId="2" xfId="1" applyNumberFormat="1" applyFont="1" applyFill="1" applyBorder="1" applyAlignment="1">
      <alignment horizontal="center"/>
    </xf>
    <xf numFmtId="0" fontId="9" fillId="12" borderId="2" xfId="0" applyFont="1" applyFill="1" applyBorder="1" applyAlignment="1">
      <alignment wrapText="1"/>
    </xf>
    <xf numFmtId="166" fontId="7" fillId="12" borderId="2" xfId="1" applyNumberFormat="1" applyFont="1" applyFill="1" applyBorder="1" applyAlignment="1">
      <alignment horizontal="right"/>
    </xf>
    <xf numFmtId="0" fontId="8" fillId="12" borderId="2" xfId="0" applyFont="1" applyFill="1" applyBorder="1" applyAlignment="1">
      <alignment horizontal="left"/>
    </xf>
    <xf numFmtId="0" fontId="10" fillId="12" borderId="2" xfId="0" applyFont="1" applyFill="1" applyBorder="1" applyAlignment="1">
      <alignment wrapText="1"/>
    </xf>
    <xf numFmtId="0" fontId="7" fillId="12" borderId="2" xfId="0" applyFont="1" applyFill="1" applyBorder="1" applyAlignment="1">
      <alignment wrapText="1"/>
    </xf>
    <xf numFmtId="165" fontId="7" fillId="12" borderId="2" xfId="0" applyNumberFormat="1" applyFont="1" applyFill="1" applyBorder="1"/>
    <xf numFmtId="0" fontId="0" fillId="0" borderId="2" xfId="0" applyFont="1" applyFill="1" applyBorder="1"/>
    <xf numFmtId="0" fontId="14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5" fillId="12" borderId="2" xfId="1" applyFont="1" applyFill="1" applyBorder="1" applyAlignment="1">
      <alignment horizontal="left" wrapText="1"/>
    </xf>
    <xf numFmtId="165" fontId="10" fillId="12" borderId="2" xfId="1" applyNumberFormat="1" applyFont="1" applyFill="1" applyBorder="1" applyAlignment="1">
      <alignment horizontal="center"/>
    </xf>
    <xf numFmtId="0" fontId="10" fillId="12" borderId="2" xfId="1" applyFont="1" applyFill="1" applyBorder="1" applyAlignment="1">
      <alignment horizontal="center"/>
    </xf>
    <xf numFmtId="166" fontId="10" fillId="12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46" fillId="12" borderId="2" xfId="0" applyFont="1" applyFill="1" applyBorder="1"/>
    <xf numFmtId="0" fontId="10" fillId="12" borderId="2" xfId="0" applyFont="1" applyFill="1" applyBorder="1" applyAlignment="1">
      <alignment horizontal="center"/>
    </xf>
    <xf numFmtId="165" fontId="8" fillId="12" borderId="2" xfId="0" applyNumberFormat="1" applyFont="1" applyFill="1" applyBorder="1" applyAlignment="1">
      <alignment horizontal="center"/>
    </xf>
    <xf numFmtId="0" fontId="8" fillId="12" borderId="2" xfId="0" applyFont="1" applyFill="1" applyBorder="1"/>
    <xf numFmtId="165" fontId="8" fillId="12" borderId="2" xfId="0" applyNumberFormat="1" applyFont="1" applyFill="1" applyBorder="1"/>
    <xf numFmtId="0" fontId="8" fillId="12" borderId="2" xfId="0" applyFont="1" applyFill="1" applyBorder="1" applyAlignment="1">
      <alignment horizontal="center"/>
    </xf>
    <xf numFmtId="0" fontId="10" fillId="12" borderId="0" xfId="0" applyFont="1" applyFill="1" applyAlignment="1">
      <alignment wrapText="1"/>
    </xf>
    <xf numFmtId="166" fontId="8" fillId="12" borderId="2" xfId="1" applyNumberFormat="1" applyFont="1" applyFill="1" applyBorder="1" applyAlignment="1"/>
    <xf numFmtId="0" fontId="26" fillId="0" borderId="5" xfId="1" applyFont="1" applyFill="1" applyBorder="1" applyAlignment="1">
      <alignment wrapText="1"/>
    </xf>
    <xf numFmtId="0" fontId="26" fillId="0" borderId="2" xfId="0" applyFont="1" applyFill="1" applyBorder="1" applyAlignment="1">
      <alignment horizontal="left" wrapText="1"/>
    </xf>
    <xf numFmtId="0" fontId="23" fillId="5" borderId="5" xfId="1" applyFont="1" applyFill="1" applyBorder="1" applyAlignment="1">
      <alignment wrapText="1"/>
    </xf>
    <xf numFmtId="16" fontId="17" fillId="9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7" fillId="6" borderId="2" xfId="0" applyFont="1" applyFill="1" applyBorder="1" applyAlignment="1">
      <alignment wrapText="1"/>
    </xf>
    <xf numFmtId="0" fontId="45" fillId="6" borderId="2" xfId="0" applyFont="1" applyFill="1" applyBorder="1"/>
    <xf numFmtId="0" fontId="31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167" fontId="7" fillId="6" borderId="2" xfId="0" applyNumberFormat="1" applyFont="1" applyFill="1" applyBorder="1" applyAlignment="1">
      <alignment horizontal="left"/>
    </xf>
    <xf numFmtId="166" fontId="9" fillId="6" borderId="11" xfId="1" applyNumberFormat="1" applyFont="1" applyFill="1" applyBorder="1" applyAlignment="1">
      <alignment horizontal="right"/>
    </xf>
    <xf numFmtId="165" fontId="18" fillId="6" borderId="2" xfId="0" applyNumberFormat="1" applyFont="1" applyFill="1" applyBorder="1"/>
    <xf numFmtId="0" fontId="23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3" fillId="6" borderId="5" xfId="1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7" fillId="5" borderId="5" xfId="1" applyFont="1" applyFill="1" applyBorder="1" applyAlignment="1">
      <alignment wrapText="1"/>
    </xf>
    <xf numFmtId="0" fontId="15" fillId="6" borderId="0" xfId="0" applyFont="1" applyFill="1"/>
    <xf numFmtId="0" fontId="23" fillId="5" borderId="9" xfId="1" applyFont="1" applyFill="1" applyBorder="1" applyAlignment="1">
      <alignment wrapText="1"/>
    </xf>
    <xf numFmtId="0" fontId="17" fillId="5" borderId="2" xfId="1" applyFont="1" applyFill="1" applyBorder="1" applyAlignment="1">
      <alignment wrapText="1"/>
    </xf>
    <xf numFmtId="49" fontId="17" fillId="5" borderId="5" xfId="1" applyNumberFormat="1" applyFont="1" applyFill="1" applyBorder="1" applyAlignment="1">
      <alignment horizontal="justify"/>
    </xf>
    <xf numFmtId="0" fontId="15" fillId="5" borderId="0" xfId="0" applyFont="1" applyFill="1"/>
    <xf numFmtId="49" fontId="12" fillId="0" borderId="2" xfId="0" applyNumberFormat="1" applyFont="1" applyFill="1" applyBorder="1" applyAlignment="1">
      <alignment horizontal="center"/>
    </xf>
    <xf numFmtId="49" fontId="17" fillId="0" borderId="5" xfId="1" applyNumberFormat="1" applyFont="1" applyFill="1" applyBorder="1" applyAlignment="1">
      <alignment horizontal="justify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49" fontId="12" fillId="0" borderId="5" xfId="1" applyNumberFormat="1" applyFont="1" applyFill="1" applyBorder="1" applyAlignment="1">
      <alignment wrapText="1"/>
    </xf>
    <xf numFmtId="0" fontId="12" fillId="0" borderId="4" xfId="0" applyFont="1" applyFill="1" applyBorder="1" applyAlignment="1">
      <alignment horizontal="center" vertical="top" wrapText="1"/>
    </xf>
    <xf numFmtId="166" fontId="18" fillId="5" borderId="2" xfId="0" applyNumberFormat="1" applyFont="1" applyFill="1" applyBorder="1" applyAlignment="1">
      <alignment horizontal="right"/>
    </xf>
    <xf numFmtId="166" fontId="1" fillId="5" borderId="2" xfId="1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2" fillId="0" borderId="5" xfId="1" applyNumberFormat="1" applyFont="1" applyFill="1" applyBorder="1" applyAlignment="1">
      <alignment horizontal="left" wrapText="1"/>
    </xf>
    <xf numFmtId="49" fontId="17" fillId="0" borderId="5" xfId="1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/>
    <xf numFmtId="49" fontId="12" fillId="0" borderId="5" xfId="1" applyNumberFormat="1" applyFont="1" applyFill="1" applyBorder="1" applyAlignment="1">
      <alignment vertical="top" wrapText="1"/>
    </xf>
    <xf numFmtId="49" fontId="12" fillId="0" borderId="5" xfId="1" applyNumberFormat="1" applyFont="1" applyFill="1" applyBorder="1" applyAlignment="1">
      <alignment horizontal="justify"/>
    </xf>
    <xf numFmtId="49" fontId="12" fillId="0" borderId="3" xfId="1" applyNumberFormat="1" applyFont="1" applyFill="1" applyBorder="1" applyAlignment="1">
      <alignment horizontal="justify"/>
    </xf>
    <xf numFmtId="49" fontId="12" fillId="0" borderId="7" xfId="0" applyNumberFormat="1" applyFont="1" applyFill="1" applyBorder="1" applyAlignment="1">
      <alignment horizontal="center"/>
    </xf>
    <xf numFmtId="49" fontId="12" fillId="0" borderId="4" xfId="1" applyNumberFormat="1" applyFont="1" applyFill="1" applyBorder="1" applyAlignment="1">
      <alignment horizontal="justify"/>
    </xf>
    <xf numFmtId="49" fontId="17" fillId="0" borderId="4" xfId="1" applyNumberFormat="1" applyFont="1" applyFill="1" applyBorder="1" applyAlignment="1">
      <alignment horizontal="justify"/>
    </xf>
    <xf numFmtId="165" fontId="9" fillId="6" borderId="2" xfId="0" applyNumberFormat="1" applyFont="1" applyFill="1" applyBorder="1" applyAlignment="1">
      <alignment horizontal="right"/>
    </xf>
    <xf numFmtId="166" fontId="18" fillId="6" borderId="2" xfId="0" applyNumberFormat="1" applyFont="1" applyFill="1" applyBorder="1"/>
    <xf numFmtId="49" fontId="17" fillId="5" borderId="7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right"/>
    </xf>
    <xf numFmtId="166" fontId="1" fillId="5" borderId="2" xfId="0" applyNumberFormat="1" applyFont="1" applyFill="1" applyBorder="1"/>
    <xf numFmtId="49" fontId="17" fillId="4" borderId="4" xfId="1" applyNumberFormat="1" applyFont="1" applyFill="1" applyBorder="1" applyAlignment="1">
      <alignment horizontal="justify"/>
    </xf>
    <xf numFmtId="0" fontId="18" fillId="0" borderId="11" xfId="0" applyFont="1" applyFill="1" applyBorder="1" applyAlignment="1">
      <alignment horizontal="right"/>
    </xf>
    <xf numFmtId="0" fontId="47" fillId="0" borderId="0" xfId="0" applyFont="1"/>
    <xf numFmtId="0" fontId="47" fillId="0" borderId="2" xfId="0" applyFont="1" applyBorder="1"/>
    <xf numFmtId="3" fontId="48" fillId="0" borderId="2" xfId="1" applyNumberFormat="1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166" fontId="50" fillId="5" borderId="2" xfId="1" applyNumberFormat="1" applyFont="1" applyFill="1" applyBorder="1" applyAlignment="1">
      <alignment horizontal="center"/>
    </xf>
    <xf numFmtId="165" fontId="49" fillId="0" borderId="2" xfId="0" applyNumberFormat="1" applyFont="1" applyBorder="1"/>
    <xf numFmtId="165" fontId="47" fillId="0" borderId="2" xfId="0" applyNumberFormat="1" applyFont="1" applyBorder="1"/>
    <xf numFmtId="166" fontId="50" fillId="5" borderId="0" xfId="1" applyNumberFormat="1" applyFont="1" applyFill="1" applyBorder="1" applyAlignment="1">
      <alignment horizontal="center"/>
    </xf>
    <xf numFmtId="166" fontId="51" fillId="0" borderId="46" xfId="1" applyNumberFormat="1" applyFont="1" applyFill="1" applyBorder="1" applyAlignment="1">
      <alignment horizontal="center"/>
    </xf>
    <xf numFmtId="0" fontId="47" fillId="0" borderId="0" xfId="0" applyFont="1" applyBorder="1"/>
    <xf numFmtId="0" fontId="47" fillId="0" borderId="0" xfId="0" applyFont="1" applyFill="1" applyBorder="1"/>
    <xf numFmtId="2" fontId="47" fillId="0" borderId="0" xfId="0" applyNumberFormat="1" applyFont="1" applyBorder="1"/>
    <xf numFmtId="0" fontId="47" fillId="0" borderId="46" xfId="0" applyFont="1" applyFill="1" applyBorder="1"/>
    <xf numFmtId="166" fontId="47" fillId="0" borderId="0" xfId="0" applyNumberFormat="1" applyFont="1"/>
    <xf numFmtId="165" fontId="47" fillId="0" borderId="0" xfId="0" applyNumberFormat="1" applyFont="1"/>
    <xf numFmtId="165" fontId="48" fillId="0" borderId="2" xfId="1" applyNumberFormat="1" applyFont="1" applyBorder="1" applyAlignment="1">
      <alignment horizontal="center"/>
    </xf>
    <xf numFmtId="164" fontId="47" fillId="0" borderId="0" xfId="0" applyNumberFormat="1" applyFont="1"/>
    <xf numFmtId="168" fontId="47" fillId="0" borderId="0" xfId="0" applyNumberFormat="1" applyFont="1"/>
    <xf numFmtId="2" fontId="47" fillId="0" borderId="0" xfId="0" applyNumberFormat="1" applyFont="1"/>
    <xf numFmtId="0" fontId="12" fillId="0" borderId="5" xfId="0" applyFont="1" applyFill="1" applyBorder="1" applyAlignment="1">
      <alignment vertical="top" wrapText="1"/>
    </xf>
    <xf numFmtId="3" fontId="9" fillId="8" borderId="2" xfId="1" applyNumberFormat="1" applyFont="1" applyFill="1" applyBorder="1" applyAlignment="1">
      <alignment horizontal="right"/>
    </xf>
    <xf numFmtId="0" fontId="15" fillId="8" borderId="0" xfId="0" applyFont="1" applyFill="1"/>
    <xf numFmtId="49" fontId="12" fillId="0" borderId="4" xfId="1" applyNumberFormat="1" applyFont="1" applyFill="1" applyBorder="1" applyAlignment="1">
      <alignment vertical="top" wrapText="1"/>
    </xf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/>
    </xf>
    <xf numFmtId="0" fontId="12" fillId="4" borderId="3" xfId="1" applyFont="1" applyFill="1" applyBorder="1" applyAlignment="1">
      <alignment wrapText="1"/>
    </xf>
    <xf numFmtId="2" fontId="17" fillId="4" borderId="2" xfId="0" applyNumberFormat="1" applyFont="1" applyFill="1" applyBorder="1"/>
    <xf numFmtId="0" fontId="17" fillId="4" borderId="5" xfId="1" applyFont="1" applyFill="1" applyBorder="1" applyAlignment="1">
      <alignment horizontal="left" wrapText="1"/>
    </xf>
    <xf numFmtId="0" fontId="50" fillId="5" borderId="0" xfId="0" applyFont="1" applyFill="1" applyAlignment="1">
      <alignment horizontal="center"/>
    </xf>
    <xf numFmtId="0" fontId="12" fillId="0" borderId="5" xfId="1" applyFont="1" applyBorder="1" applyAlignment="1">
      <alignment horizontal="left" vertical="top" wrapText="1"/>
    </xf>
    <xf numFmtId="165" fontId="47" fillId="0" borderId="0" xfId="0" applyNumberFormat="1" applyFont="1" applyAlignment="1">
      <alignment horizontal="right"/>
    </xf>
    <xf numFmtId="0" fontId="12" fillId="0" borderId="2" xfId="0" applyFont="1" applyFill="1" applyBorder="1" applyAlignment="1">
      <alignment vertical="center"/>
    </xf>
    <xf numFmtId="0" fontId="10" fillId="12" borderId="2" xfId="1" applyFont="1" applyFill="1" applyBorder="1" applyAlignment="1">
      <alignment horizontal="left" vertical="top" wrapText="1"/>
    </xf>
    <xf numFmtId="166" fontId="18" fillId="8" borderId="2" xfId="0" applyNumberFormat="1" applyFont="1" applyFill="1" applyBorder="1" applyAlignment="1">
      <alignment horizontal="right"/>
    </xf>
    <xf numFmtId="0" fontId="12" fillId="0" borderId="15" xfId="1" applyFont="1" applyFill="1" applyBorder="1" applyAlignment="1">
      <alignment horizontal="left" vertical="center" wrapText="1"/>
    </xf>
    <xf numFmtId="0" fontId="26" fillId="0" borderId="26" xfId="1" applyFont="1" applyFill="1" applyBorder="1" applyAlignment="1">
      <alignment horizontal="left" vertical="center" wrapText="1"/>
    </xf>
    <xf numFmtId="4" fontId="32" fillId="5" borderId="2" xfId="1" applyNumberFormat="1" applyFont="1" applyFill="1" applyBorder="1" applyAlignment="1">
      <alignment horizontal="center"/>
    </xf>
    <xf numFmtId="165" fontId="49" fillId="0" borderId="0" xfId="0" applyNumberFormat="1" applyFont="1"/>
    <xf numFmtId="0" fontId="12" fillId="0" borderId="1" xfId="1" applyFont="1" applyFill="1" applyBorder="1" applyAlignment="1">
      <alignment horizontal="left" vertical="center" wrapText="1"/>
    </xf>
    <xf numFmtId="0" fontId="26" fillId="0" borderId="3" xfId="1" applyFont="1" applyFill="1" applyBorder="1" applyAlignment="1">
      <alignment horizontal="left" vertical="center" wrapText="1"/>
    </xf>
    <xf numFmtId="165" fontId="52" fillId="5" borderId="2" xfId="0" applyNumberFormat="1" applyFont="1" applyFill="1" applyBorder="1" applyAlignment="1">
      <alignment horizontal="right"/>
    </xf>
    <xf numFmtId="165" fontId="53" fillId="6" borderId="2" xfId="0" applyNumberFormat="1" applyFont="1" applyFill="1" applyBorder="1" applyAlignment="1">
      <alignment horizontal="right"/>
    </xf>
    <xf numFmtId="166" fontId="53" fillId="0" borderId="2" xfId="1" applyNumberFormat="1" applyFont="1" applyFill="1" applyBorder="1" applyAlignment="1">
      <alignment horizontal="right"/>
    </xf>
    <xf numFmtId="165" fontId="53" fillId="0" borderId="2" xfId="0" applyNumberFormat="1" applyFont="1" applyFill="1" applyBorder="1" applyAlignment="1">
      <alignment horizontal="right"/>
    </xf>
    <xf numFmtId="165" fontId="53" fillId="0" borderId="2" xfId="0" applyNumberFormat="1" applyFont="1" applyBorder="1" applyAlignment="1">
      <alignment horizontal="right"/>
    </xf>
    <xf numFmtId="165" fontId="54" fillId="0" borderId="2" xfId="0" applyNumberFormat="1" applyFont="1" applyFill="1" applyBorder="1" applyAlignment="1">
      <alignment horizontal="right"/>
    </xf>
    <xf numFmtId="166" fontId="53" fillId="4" borderId="2" xfId="1" applyNumberFormat="1" applyFont="1" applyFill="1" applyBorder="1" applyAlignment="1">
      <alignment horizontal="right"/>
    </xf>
    <xf numFmtId="165" fontId="53" fillId="4" borderId="2" xfId="0" applyNumberFormat="1" applyFont="1" applyFill="1" applyBorder="1" applyAlignment="1">
      <alignment horizontal="right"/>
    </xf>
    <xf numFmtId="166" fontId="53" fillId="4" borderId="2" xfId="0" applyNumberFormat="1" applyFont="1" applyFill="1" applyBorder="1" applyAlignment="1">
      <alignment horizontal="right"/>
    </xf>
    <xf numFmtId="165" fontId="53" fillId="0" borderId="11" xfId="0" applyNumberFormat="1" applyFont="1" applyFill="1" applyBorder="1" applyAlignment="1">
      <alignment horizontal="right"/>
    </xf>
    <xf numFmtId="165" fontId="53" fillId="4" borderId="11" xfId="0" applyNumberFormat="1" applyFont="1" applyFill="1" applyBorder="1" applyAlignment="1">
      <alignment horizontal="right"/>
    </xf>
    <xf numFmtId="166" fontId="53" fillId="0" borderId="2" xfId="0" applyNumberFormat="1" applyFont="1" applyFill="1" applyBorder="1" applyAlignment="1">
      <alignment horizontal="right"/>
    </xf>
    <xf numFmtId="165" fontId="57" fillId="0" borderId="0" xfId="0" applyNumberFormat="1" applyFont="1" applyAlignment="1">
      <alignment horizontal="left"/>
    </xf>
    <xf numFmtId="165" fontId="52" fillId="5" borderId="2" xfId="1" applyNumberFormat="1" applyFont="1" applyFill="1" applyBorder="1" applyAlignment="1">
      <alignment horizontal="right"/>
    </xf>
    <xf numFmtId="165" fontId="53" fillId="6" borderId="2" xfId="1" applyNumberFormat="1" applyFont="1" applyFill="1" applyBorder="1" applyAlignment="1">
      <alignment horizontal="right"/>
    </xf>
    <xf numFmtId="165" fontId="53" fillId="0" borderId="2" xfId="1" applyNumberFormat="1" applyFont="1" applyFill="1" applyBorder="1" applyAlignment="1">
      <alignment horizontal="right"/>
    </xf>
    <xf numFmtId="165" fontId="53" fillId="0" borderId="11" xfId="1" applyNumberFormat="1" applyFont="1" applyBorder="1" applyAlignment="1">
      <alignment horizontal="right"/>
    </xf>
    <xf numFmtId="165" fontId="53" fillId="4" borderId="2" xfId="1" applyNumberFormat="1" applyFont="1" applyFill="1" applyBorder="1" applyAlignment="1">
      <alignment horizontal="right"/>
    </xf>
    <xf numFmtId="165" fontId="53" fillId="4" borderId="11" xfId="1" applyNumberFormat="1" applyFont="1" applyFill="1" applyBorder="1" applyAlignment="1">
      <alignment horizontal="right"/>
    </xf>
    <xf numFmtId="165" fontId="53" fillId="0" borderId="10" xfId="1" applyNumberFormat="1" applyFont="1" applyFill="1" applyBorder="1" applyAlignment="1">
      <alignment horizontal="right"/>
    </xf>
    <xf numFmtId="165" fontId="53" fillId="0" borderId="10" xfId="1" applyNumberFormat="1" applyFont="1" applyBorder="1" applyAlignment="1">
      <alignment horizontal="right"/>
    </xf>
    <xf numFmtId="165" fontId="53" fillId="4" borderId="10" xfId="1" applyNumberFormat="1" applyFont="1" applyFill="1" applyBorder="1" applyAlignment="1">
      <alignment horizontal="right"/>
    </xf>
    <xf numFmtId="165" fontId="53" fillId="0" borderId="11" xfId="0" applyNumberFormat="1" applyFont="1" applyBorder="1" applyAlignment="1">
      <alignment horizontal="right"/>
    </xf>
    <xf numFmtId="165" fontId="53" fillId="0" borderId="2" xfId="1" applyNumberFormat="1" applyFont="1" applyBorder="1" applyAlignment="1">
      <alignment horizontal="right"/>
    </xf>
    <xf numFmtId="165" fontId="55" fillId="6" borderId="2" xfId="1" applyNumberFormat="1" applyFont="1" applyFill="1" applyBorder="1" applyAlignment="1">
      <alignment horizontal="right"/>
    </xf>
    <xf numFmtId="165" fontId="52" fillId="0" borderId="2" xfId="1" applyNumberFormat="1" applyFont="1" applyFill="1" applyBorder="1" applyAlignment="1">
      <alignment horizontal="right"/>
    </xf>
    <xf numFmtId="165" fontId="52" fillId="0" borderId="11" xfId="1" applyNumberFormat="1" applyFont="1" applyFill="1" applyBorder="1" applyAlignment="1">
      <alignment horizontal="right"/>
    </xf>
    <xf numFmtId="165" fontId="53" fillId="0" borderId="11" xfId="1" applyNumberFormat="1" applyFont="1" applyFill="1" applyBorder="1" applyAlignment="1">
      <alignment horizontal="right"/>
    </xf>
    <xf numFmtId="165" fontId="52" fillId="8" borderId="2" xfId="1" applyNumberFormat="1" applyFont="1" applyFill="1" applyBorder="1" applyAlignment="1">
      <alignment horizontal="right"/>
    </xf>
    <xf numFmtId="165" fontId="52" fillId="8" borderId="11" xfId="1" applyNumberFormat="1" applyFont="1" applyFill="1" applyBorder="1" applyAlignment="1">
      <alignment horizontal="right"/>
    </xf>
    <xf numFmtId="165" fontId="53" fillId="8" borderId="2" xfId="1" applyNumberFormat="1" applyFont="1" applyFill="1" applyBorder="1" applyAlignment="1">
      <alignment horizontal="right"/>
    </xf>
    <xf numFmtId="165" fontId="53" fillId="8" borderId="11" xfId="1" applyNumberFormat="1" applyFont="1" applyFill="1" applyBorder="1" applyAlignment="1">
      <alignment horizontal="right"/>
    </xf>
    <xf numFmtId="165" fontId="56" fillId="0" borderId="2" xfId="0" applyNumberFormat="1" applyFont="1" applyFill="1" applyBorder="1" applyAlignment="1">
      <alignment horizontal="right"/>
    </xf>
    <xf numFmtId="165" fontId="53" fillId="9" borderId="2" xfId="1" applyNumberFormat="1" applyFont="1" applyFill="1" applyBorder="1" applyAlignment="1">
      <alignment horizontal="right"/>
    </xf>
    <xf numFmtId="165" fontId="52" fillId="6" borderId="2" xfId="1" applyNumberFormat="1" applyFont="1" applyFill="1" applyBorder="1" applyAlignment="1">
      <alignment horizontal="right"/>
    </xf>
    <xf numFmtId="165" fontId="55" fillId="6" borderId="2" xfId="0" applyNumberFormat="1" applyFont="1" applyFill="1" applyBorder="1" applyAlignment="1">
      <alignment horizontal="right"/>
    </xf>
    <xf numFmtId="165" fontId="57" fillId="0" borderId="2" xfId="0" applyNumberFormat="1" applyFont="1" applyBorder="1" applyAlignment="1">
      <alignment horizontal="right"/>
    </xf>
    <xf numFmtId="165" fontId="53" fillId="0" borderId="1" xfId="1" applyNumberFormat="1" applyFont="1" applyFill="1" applyBorder="1" applyAlignment="1">
      <alignment horizontal="right"/>
    </xf>
    <xf numFmtId="165" fontId="53" fillId="4" borderId="7" xfId="1" applyNumberFormat="1" applyFont="1" applyFill="1" applyBorder="1" applyAlignment="1">
      <alignment horizontal="right"/>
    </xf>
    <xf numFmtId="165" fontId="53" fillId="4" borderId="12" xfId="1" applyNumberFormat="1" applyFont="1" applyFill="1" applyBorder="1" applyAlignment="1">
      <alignment horizontal="right"/>
    </xf>
    <xf numFmtId="165" fontId="58" fillId="0" borderId="2" xfId="0" applyNumberFormat="1" applyFont="1" applyFill="1" applyBorder="1" applyAlignment="1">
      <alignment horizontal="right"/>
    </xf>
    <xf numFmtId="165" fontId="53" fillId="0" borderId="7" xfId="1" applyNumberFormat="1" applyFont="1" applyFill="1" applyBorder="1" applyAlignment="1">
      <alignment horizontal="right"/>
    </xf>
    <xf numFmtId="165" fontId="54" fillId="4" borderId="2" xfId="1" applyNumberFormat="1" applyFont="1" applyFill="1" applyBorder="1" applyAlignment="1">
      <alignment horizontal="right"/>
    </xf>
    <xf numFmtId="165" fontId="54" fillId="4" borderId="11" xfId="1" applyNumberFormat="1" applyFont="1" applyFill="1" applyBorder="1" applyAlignment="1">
      <alignment horizontal="right"/>
    </xf>
    <xf numFmtId="165" fontId="53" fillId="0" borderId="2" xfId="1" applyNumberFormat="1" applyFont="1" applyFill="1" applyBorder="1" applyAlignment="1">
      <alignment horizontal="right" wrapText="1"/>
    </xf>
    <xf numFmtId="165" fontId="53" fillId="0" borderId="11" xfId="1" applyNumberFormat="1" applyFont="1" applyFill="1" applyBorder="1" applyAlignment="1">
      <alignment horizontal="right" wrapText="1"/>
    </xf>
    <xf numFmtId="165" fontId="57" fillId="0" borderId="2" xfId="0" applyNumberFormat="1" applyFont="1" applyFill="1" applyBorder="1" applyAlignment="1">
      <alignment horizontal="right"/>
    </xf>
    <xf numFmtId="165" fontId="52" fillId="5" borderId="11" xfId="1" applyNumberFormat="1" applyFont="1" applyFill="1" applyBorder="1" applyAlignment="1">
      <alignment horizontal="right"/>
    </xf>
    <xf numFmtId="165" fontId="52" fillId="6" borderId="11" xfId="1" applyNumberFormat="1" applyFont="1" applyFill="1" applyBorder="1" applyAlignment="1">
      <alignment horizontal="right"/>
    </xf>
    <xf numFmtId="165" fontId="54" fillId="0" borderId="2" xfId="1" applyNumberFormat="1" applyFont="1" applyFill="1" applyBorder="1" applyAlignment="1">
      <alignment horizontal="right"/>
    </xf>
    <xf numFmtId="165" fontId="54" fillId="0" borderId="11" xfId="1" applyNumberFormat="1" applyFont="1" applyFill="1" applyBorder="1" applyAlignment="1">
      <alignment horizontal="right"/>
    </xf>
    <xf numFmtId="165" fontId="57" fillId="4" borderId="2" xfId="0" applyNumberFormat="1" applyFont="1" applyFill="1" applyBorder="1" applyAlignment="1">
      <alignment horizontal="right"/>
    </xf>
    <xf numFmtId="165" fontId="58" fillId="0" borderId="0" xfId="0" applyNumberFormat="1" applyFont="1" applyAlignment="1">
      <alignment horizontal="left"/>
    </xf>
    <xf numFmtId="165" fontId="57" fillId="4" borderId="0" xfId="0" applyNumberFormat="1" applyFont="1" applyFill="1" applyAlignment="1">
      <alignment horizontal="left"/>
    </xf>
    <xf numFmtId="165" fontId="53" fillId="6" borderId="2" xfId="0" applyNumberFormat="1" applyFont="1" applyFill="1" applyBorder="1" applyAlignment="1">
      <alignment horizontal="left"/>
    </xf>
    <xf numFmtId="165" fontId="56" fillId="6" borderId="2" xfId="0" applyNumberFormat="1" applyFont="1" applyFill="1" applyBorder="1" applyAlignment="1">
      <alignment horizontal="left"/>
    </xf>
    <xf numFmtId="0" fontId="15" fillId="0" borderId="2" xfId="0" applyFont="1" applyBorder="1"/>
    <xf numFmtId="0" fontId="18" fillId="0" borderId="11" xfId="0" applyFont="1" applyFill="1" applyBorder="1"/>
    <xf numFmtId="0" fontId="45" fillId="0" borderId="11" xfId="0" applyFont="1" applyBorder="1"/>
    <xf numFmtId="0" fontId="45" fillId="0" borderId="11" xfId="0" applyFont="1" applyFill="1" applyBorder="1"/>
    <xf numFmtId="166" fontId="18" fillId="5" borderId="11" xfId="0" applyNumberFormat="1" applyFont="1" applyFill="1" applyBorder="1" applyAlignment="1">
      <alignment horizontal="right"/>
    </xf>
    <xf numFmtId="0" fontId="12" fillId="0" borderId="11" xfId="0" applyFont="1" applyFill="1" applyBorder="1"/>
    <xf numFmtId="166" fontId="1" fillId="6" borderId="11" xfId="0" applyNumberFormat="1" applyFont="1" applyFill="1" applyBorder="1" applyAlignment="1">
      <alignment horizontal="right"/>
    </xf>
    <xf numFmtId="165" fontId="18" fillId="6" borderId="11" xfId="0" applyNumberFormat="1" applyFont="1" applyFill="1" applyBorder="1"/>
    <xf numFmtId="165" fontId="1" fillId="9" borderId="2" xfId="0" applyNumberFormat="1" applyFont="1" applyFill="1" applyBorder="1"/>
    <xf numFmtId="165" fontId="1" fillId="9" borderId="11" xfId="0" applyNumberFormat="1" applyFont="1" applyFill="1" applyBorder="1" applyAlignment="1">
      <alignment horizontal="right"/>
    </xf>
    <xf numFmtId="166" fontId="26" fillId="6" borderId="2" xfId="0" applyNumberFormat="1" applyFont="1" applyFill="1" applyBorder="1"/>
    <xf numFmtId="166" fontId="18" fillId="6" borderId="2" xfId="1" applyNumberFormat="1" applyFont="1" applyFill="1" applyBorder="1" applyAlignment="1">
      <alignment horizontal="right"/>
    </xf>
    <xf numFmtId="165" fontId="12" fillId="0" borderId="2" xfId="0" applyNumberFormat="1" applyFont="1" applyBorder="1"/>
    <xf numFmtId="165" fontId="45" fillId="0" borderId="2" xfId="0" applyNumberFormat="1" applyFont="1" applyBorder="1"/>
    <xf numFmtId="0" fontId="12" fillId="0" borderId="2" xfId="0" applyFont="1" applyBorder="1"/>
    <xf numFmtId="4" fontId="18" fillId="5" borderId="11" xfId="0" applyNumberFormat="1" applyFont="1" applyFill="1" applyBorder="1" applyAlignment="1">
      <alignment horizontal="right"/>
    </xf>
    <xf numFmtId="4" fontId="26" fillId="0" borderId="2" xfId="0" applyNumberFormat="1" applyFont="1" applyBorder="1"/>
    <xf numFmtId="4" fontId="26" fillId="4" borderId="2" xfId="0" applyNumberFormat="1" applyFont="1" applyFill="1" applyBorder="1"/>
    <xf numFmtId="4" fontId="23" fillId="6" borderId="2" xfId="0" applyNumberFormat="1" applyFont="1" applyFill="1" applyBorder="1"/>
    <xf numFmtId="4" fontId="23" fillId="5" borderId="2" xfId="0" applyNumberFormat="1" applyFont="1" applyFill="1" applyBorder="1"/>
    <xf numFmtId="0" fontId="52" fillId="0" borderId="1" xfId="1" applyFont="1" applyBorder="1" applyAlignment="1">
      <alignment horizontal="center"/>
    </xf>
    <xf numFmtId="0" fontId="52" fillId="4" borderId="1" xfId="1" applyFont="1" applyFill="1" applyBorder="1" applyAlignment="1">
      <alignment horizontal="center"/>
    </xf>
    <xf numFmtId="166" fontId="52" fillId="5" borderId="2" xfId="1" applyNumberFormat="1" applyFont="1" applyFill="1" applyBorder="1" applyAlignment="1">
      <alignment horizontal="center"/>
    </xf>
    <xf numFmtId="165" fontId="52" fillId="5" borderId="2" xfId="2" applyNumberFormat="1" applyFont="1" applyFill="1" applyBorder="1" applyAlignment="1">
      <alignment horizontal="center"/>
    </xf>
    <xf numFmtId="166" fontId="52" fillId="12" borderId="2" xfId="1" applyNumberFormat="1" applyFont="1" applyFill="1" applyBorder="1" applyAlignment="1">
      <alignment horizontal="center"/>
    </xf>
    <xf numFmtId="166" fontId="53" fillId="0" borderId="2" xfId="1" applyNumberFormat="1" applyFont="1" applyFill="1" applyBorder="1" applyAlignment="1">
      <alignment horizontal="center"/>
    </xf>
    <xf numFmtId="166" fontId="53" fillId="4" borderId="2" xfId="1" applyNumberFormat="1" applyFont="1" applyFill="1" applyBorder="1" applyAlignment="1">
      <alignment horizontal="center"/>
    </xf>
    <xf numFmtId="166" fontId="55" fillId="5" borderId="2" xfId="1" applyNumberFormat="1" applyFont="1" applyFill="1" applyBorder="1" applyAlignment="1">
      <alignment horizontal="center"/>
    </xf>
    <xf numFmtId="166" fontId="52" fillId="9" borderId="2" xfId="1" applyNumberFormat="1" applyFont="1" applyFill="1" applyBorder="1" applyAlignment="1">
      <alignment horizontal="center"/>
    </xf>
    <xf numFmtId="166" fontId="53" fillId="9" borderId="2" xfId="1" applyNumberFormat="1" applyFont="1" applyFill="1" applyBorder="1" applyAlignment="1">
      <alignment horizontal="center"/>
    </xf>
    <xf numFmtId="167" fontId="53" fillId="4" borderId="2" xfId="1" applyNumberFormat="1" applyFont="1" applyFill="1" applyBorder="1" applyAlignment="1">
      <alignment horizontal="center"/>
    </xf>
    <xf numFmtId="166" fontId="53" fillId="4" borderId="2" xfId="0" applyNumberFormat="1" applyFont="1" applyFill="1" applyBorder="1" applyAlignment="1">
      <alignment horizontal="center"/>
    </xf>
    <xf numFmtId="167" fontId="53" fillId="0" borderId="2" xfId="1" applyNumberFormat="1" applyFont="1" applyFill="1" applyBorder="1" applyAlignment="1">
      <alignment horizontal="center"/>
    </xf>
    <xf numFmtId="166" fontId="53" fillId="0" borderId="2" xfId="0" applyNumberFormat="1" applyFont="1" applyFill="1" applyBorder="1" applyAlignment="1">
      <alignment horizontal="center"/>
    </xf>
    <xf numFmtId="166" fontId="54" fillId="0" borderId="2" xfId="1" applyNumberFormat="1" applyFont="1" applyFill="1" applyBorder="1" applyAlignment="1">
      <alignment horizontal="center"/>
    </xf>
    <xf numFmtId="166" fontId="54" fillId="0" borderId="2" xfId="0" applyNumberFormat="1" applyFont="1" applyFill="1" applyBorder="1" applyAlignment="1">
      <alignment horizontal="right"/>
    </xf>
    <xf numFmtId="166" fontId="54" fillId="0" borderId="2" xfId="0" applyNumberFormat="1" applyFont="1" applyFill="1" applyBorder="1" applyAlignment="1">
      <alignment horizontal="center"/>
    </xf>
    <xf numFmtId="166" fontId="53" fillId="0" borderId="2" xfId="0" applyNumberFormat="1" applyFont="1" applyFill="1" applyBorder="1"/>
    <xf numFmtId="166" fontId="52" fillId="0" borderId="2" xfId="1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4" fontId="53" fillId="0" borderId="2" xfId="0" applyNumberFormat="1" applyFont="1" applyFill="1" applyBorder="1"/>
    <xf numFmtId="166" fontId="53" fillId="4" borderId="2" xfId="0" applyNumberFormat="1" applyFont="1" applyFill="1" applyBorder="1"/>
    <xf numFmtId="4" fontId="53" fillId="4" borderId="2" xfId="0" applyNumberFormat="1" applyFont="1" applyFill="1" applyBorder="1"/>
    <xf numFmtId="4" fontId="53" fillId="4" borderId="2" xfId="0" applyNumberFormat="1" applyFont="1" applyFill="1" applyBorder="1" applyAlignment="1">
      <alignment horizontal="center"/>
    </xf>
    <xf numFmtId="166" fontId="54" fillId="4" borderId="2" xfId="1" applyNumberFormat="1" applyFont="1" applyFill="1" applyBorder="1" applyAlignment="1">
      <alignment horizontal="center"/>
    </xf>
    <xf numFmtId="166" fontId="54" fillId="0" borderId="2" xfId="0" applyNumberFormat="1" applyFont="1" applyFill="1" applyBorder="1"/>
    <xf numFmtId="4" fontId="53" fillId="0" borderId="2" xfId="0" applyNumberFormat="1" applyFont="1" applyFill="1" applyBorder="1" applyAlignment="1">
      <alignment horizontal="center"/>
    </xf>
    <xf numFmtId="4" fontId="53" fillId="4" borderId="2" xfId="1" applyNumberFormat="1" applyFont="1" applyFill="1" applyBorder="1" applyAlignment="1">
      <alignment horizontal="center"/>
    </xf>
    <xf numFmtId="166" fontId="53" fillId="0" borderId="2" xfId="1" applyNumberFormat="1" applyFont="1" applyBorder="1" applyAlignment="1">
      <alignment horizontal="center"/>
    </xf>
    <xf numFmtId="4" fontId="53" fillId="0" borderId="2" xfId="1" applyNumberFormat="1" applyFont="1" applyFill="1" applyBorder="1" applyAlignment="1">
      <alignment horizontal="center"/>
    </xf>
    <xf numFmtId="4" fontId="52" fillId="0" borderId="2" xfId="1" applyNumberFormat="1" applyFont="1" applyFill="1" applyBorder="1" applyAlignment="1">
      <alignment horizontal="center"/>
    </xf>
    <xf numFmtId="4" fontId="52" fillId="0" borderId="2" xfId="0" applyNumberFormat="1" applyFont="1" applyFill="1" applyBorder="1" applyAlignment="1">
      <alignment horizontal="center"/>
    </xf>
    <xf numFmtId="166" fontId="56" fillId="0" borderId="2" xfId="1" applyNumberFormat="1" applyFont="1" applyFill="1" applyBorder="1" applyAlignment="1">
      <alignment horizontal="center"/>
    </xf>
    <xf numFmtId="166" fontId="52" fillId="0" borderId="11" xfId="1" applyNumberFormat="1" applyFont="1" applyFill="1" applyBorder="1" applyAlignment="1">
      <alignment horizontal="center"/>
    </xf>
    <xf numFmtId="166" fontId="53" fillId="0" borderId="14" xfId="0" applyNumberFormat="1" applyFont="1" applyFill="1" applyBorder="1" applyAlignment="1">
      <alignment horizontal="center"/>
    </xf>
    <xf numFmtId="4" fontId="54" fillId="0" borderId="2" xfId="1" applyNumberFormat="1" applyFont="1" applyFill="1" applyBorder="1" applyAlignment="1">
      <alignment horizontal="center"/>
    </xf>
    <xf numFmtId="166" fontId="53" fillId="0" borderId="11" xfId="0" applyNumberFormat="1" applyFont="1" applyFill="1" applyBorder="1" applyAlignment="1">
      <alignment horizontal="center"/>
    </xf>
    <xf numFmtId="4" fontId="54" fillId="4" borderId="2" xfId="1" applyNumberFormat="1" applyFont="1" applyFill="1" applyBorder="1" applyAlignment="1">
      <alignment horizontal="center"/>
    </xf>
    <xf numFmtId="166" fontId="54" fillId="0" borderId="2" xfId="1" applyNumberFormat="1" applyFont="1" applyBorder="1" applyAlignment="1">
      <alignment horizontal="center"/>
    </xf>
    <xf numFmtId="166" fontId="52" fillId="0" borderId="2" xfId="0" applyNumberFormat="1" applyFont="1" applyFill="1" applyBorder="1"/>
    <xf numFmtId="4" fontId="52" fillId="12" borderId="2" xfId="1" applyNumberFormat="1" applyFont="1" applyFill="1" applyBorder="1" applyAlignment="1">
      <alignment horizontal="center"/>
    </xf>
    <xf numFmtId="166" fontId="52" fillId="12" borderId="2" xfId="0" applyNumberFormat="1" applyFont="1" applyFill="1" applyBorder="1"/>
    <xf numFmtId="166" fontId="52" fillId="4" borderId="2" xfId="0" applyNumberFormat="1" applyFont="1" applyFill="1" applyBorder="1"/>
    <xf numFmtId="166" fontId="52" fillId="4" borderId="2" xfId="1" applyNumberFormat="1" applyFont="1" applyFill="1" applyBorder="1" applyAlignment="1">
      <alignment horizontal="center"/>
    </xf>
    <xf numFmtId="166" fontId="55" fillId="4" borderId="2" xfId="1" applyNumberFormat="1" applyFont="1" applyFill="1" applyBorder="1" applyAlignment="1">
      <alignment horizontal="center"/>
    </xf>
    <xf numFmtId="166" fontId="52" fillId="4" borderId="2" xfId="0" applyNumberFormat="1" applyFont="1" applyFill="1" applyBorder="1" applyAlignment="1">
      <alignment horizontal="center"/>
    </xf>
    <xf numFmtId="4" fontId="52" fillId="4" borderId="2" xfId="0" applyNumberFormat="1" applyFont="1" applyFill="1" applyBorder="1"/>
    <xf numFmtId="166" fontId="52" fillId="5" borderId="2" xfId="0" applyNumberFormat="1" applyFont="1" applyFill="1" applyBorder="1" applyAlignment="1">
      <alignment horizontal="center"/>
    </xf>
    <xf numFmtId="4" fontId="52" fillId="5" borderId="2" xfId="0" applyNumberFormat="1" applyFont="1" applyFill="1" applyBorder="1"/>
    <xf numFmtId="0" fontId="16" fillId="0" borderId="7" xfId="0" applyFont="1" applyFill="1" applyBorder="1"/>
    <xf numFmtId="165" fontId="17" fillId="5" borderId="2" xfId="0" applyNumberFormat="1" applyFont="1" applyFill="1" applyBorder="1"/>
    <xf numFmtId="2" fontId="7" fillId="0" borderId="2" xfId="0" applyNumberFormat="1" applyFont="1" applyBorder="1"/>
    <xf numFmtId="2" fontId="7" fillId="0" borderId="0" xfId="0" applyNumberFormat="1" applyFont="1"/>
    <xf numFmtId="2" fontId="8" fillId="12" borderId="2" xfId="0" applyNumberFormat="1" applyFont="1" applyFill="1" applyBorder="1"/>
    <xf numFmtId="2" fontId="8" fillId="5" borderId="2" xfId="0" applyNumberFormat="1" applyFont="1" applyFill="1" applyBorder="1"/>
    <xf numFmtId="2" fontId="8" fillId="0" borderId="2" xfId="0" applyNumberFormat="1" applyFont="1" applyBorder="1"/>
    <xf numFmtId="166" fontId="8" fillId="0" borderId="2" xfId="0" applyNumberFormat="1" applyFont="1" applyBorder="1"/>
    <xf numFmtId="0" fontId="14" fillId="4" borderId="0" xfId="0" applyFont="1" applyFill="1"/>
    <xf numFmtId="164" fontId="7" fillId="4" borderId="2" xfId="0" applyNumberFormat="1" applyFont="1" applyFill="1" applyBorder="1"/>
    <xf numFmtId="166" fontId="9" fillId="4" borderId="2" xfId="0" applyNumberFormat="1" applyFont="1" applyFill="1" applyBorder="1"/>
    <xf numFmtId="0" fontId="16" fillId="4" borderId="2" xfId="0" applyFont="1" applyFill="1" applyBorder="1"/>
    <xf numFmtId="2" fontId="7" fillId="4" borderId="2" xfId="0" applyNumberFormat="1" applyFont="1" applyFill="1" applyBorder="1"/>
    <xf numFmtId="3" fontId="52" fillId="5" borderId="1" xfId="1" applyNumberFormat="1" applyFont="1" applyFill="1" applyBorder="1" applyAlignment="1">
      <alignment horizontal="center"/>
    </xf>
    <xf numFmtId="3" fontId="52" fillId="5" borderId="10" xfId="1" applyNumberFormat="1" applyFont="1" applyFill="1" applyBorder="1" applyAlignment="1">
      <alignment horizontal="center"/>
    </xf>
    <xf numFmtId="3" fontId="52" fillId="5" borderId="2" xfId="1" applyNumberFormat="1" applyFont="1" applyFill="1" applyBorder="1" applyAlignment="1">
      <alignment horizontal="center"/>
    </xf>
    <xf numFmtId="166" fontId="53" fillId="12" borderId="2" xfId="1" applyNumberFormat="1" applyFont="1" applyFill="1" applyBorder="1" applyAlignment="1">
      <alignment horizontal="center"/>
    </xf>
    <xf numFmtId="0" fontId="53" fillId="12" borderId="2" xfId="0" applyFont="1" applyFill="1" applyBorder="1" applyAlignment="1">
      <alignment horizontal="center"/>
    </xf>
    <xf numFmtId="165" fontId="53" fillId="12" borderId="2" xfId="0" applyNumberFormat="1" applyFont="1" applyFill="1" applyBorder="1" applyAlignment="1">
      <alignment horizontal="center"/>
    </xf>
    <xf numFmtId="166" fontId="53" fillId="12" borderId="2" xfId="0" applyNumberFormat="1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166" fontId="57" fillId="0" borderId="2" xfId="0" applyNumberFormat="1" applyFont="1" applyFill="1" applyBorder="1" applyAlignment="1">
      <alignment horizontal="center"/>
    </xf>
    <xf numFmtId="165" fontId="53" fillId="0" borderId="2" xfId="0" applyNumberFormat="1" applyFont="1" applyFill="1" applyBorder="1" applyAlignment="1">
      <alignment horizontal="center"/>
    </xf>
    <xf numFmtId="4" fontId="53" fillId="12" borderId="2" xfId="1" applyNumberFormat="1" applyFont="1" applyFill="1" applyBorder="1" applyAlignment="1">
      <alignment horizontal="center"/>
    </xf>
    <xf numFmtId="0" fontId="53" fillId="4" borderId="2" xfId="0" applyFont="1" applyFill="1" applyBorder="1" applyAlignment="1">
      <alignment horizontal="center"/>
    </xf>
    <xf numFmtId="0" fontId="53" fillId="12" borderId="2" xfId="0" applyFont="1" applyFill="1" applyBorder="1"/>
    <xf numFmtId="3" fontId="17" fillId="5" borderId="1" xfId="1" applyNumberFormat="1" applyFont="1" applyFill="1" applyBorder="1" applyAlignment="1">
      <alignment horizontal="center"/>
    </xf>
    <xf numFmtId="3" fontId="17" fillId="5" borderId="10" xfId="1" applyNumberFormat="1" applyFont="1" applyFill="1" applyBorder="1" applyAlignment="1">
      <alignment horizontal="center"/>
    </xf>
    <xf numFmtId="3" fontId="17" fillId="5" borderId="2" xfId="1" applyNumberFormat="1" applyFont="1" applyFill="1" applyBorder="1" applyAlignment="1">
      <alignment horizontal="center"/>
    </xf>
    <xf numFmtId="166" fontId="17" fillId="5" borderId="2" xfId="1" applyNumberFormat="1" applyFont="1" applyFill="1" applyBorder="1" applyAlignment="1">
      <alignment horizontal="center"/>
    </xf>
    <xf numFmtId="166" fontId="12" fillId="4" borderId="2" xfId="1" applyNumberFormat="1" applyFont="1" applyFill="1" applyBorder="1" applyAlignment="1">
      <alignment horizontal="center"/>
    </xf>
    <xf numFmtId="166" fontId="8" fillId="5" borderId="2" xfId="0" applyNumberFormat="1" applyFont="1" applyFill="1" applyBorder="1"/>
    <xf numFmtId="165" fontId="12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6" fontId="52" fillId="5" borderId="2" xfId="1" applyNumberFormat="1" applyFont="1" applyFill="1" applyBorder="1" applyAlignment="1">
      <alignment horizontal="center" wrapText="1"/>
    </xf>
    <xf numFmtId="166" fontId="52" fillId="5" borderId="1" xfId="1" applyNumberFormat="1" applyFont="1" applyFill="1" applyBorder="1" applyAlignment="1">
      <alignment horizontal="center" wrapText="1"/>
    </xf>
    <xf numFmtId="166" fontId="52" fillId="5" borderId="1" xfId="1" applyNumberFormat="1" applyFont="1" applyFill="1" applyBorder="1" applyAlignment="1">
      <alignment horizontal="center"/>
    </xf>
    <xf numFmtId="165" fontId="52" fillId="12" borderId="2" xfId="1" applyNumberFormat="1" applyFont="1" applyFill="1" applyBorder="1" applyAlignment="1">
      <alignment horizontal="center"/>
    </xf>
    <xf numFmtId="165" fontId="53" fillId="0" borderId="2" xfId="1" applyNumberFormat="1" applyFont="1" applyFill="1" applyBorder="1" applyAlignment="1">
      <alignment horizontal="center"/>
    </xf>
    <xf numFmtId="165" fontId="54" fillId="9" borderId="2" xfId="1" applyNumberFormat="1" applyFont="1" applyFill="1" applyBorder="1" applyAlignment="1">
      <alignment horizontal="center"/>
    </xf>
    <xf numFmtId="0" fontId="54" fillId="9" borderId="2" xfId="0" applyFont="1" applyFill="1" applyBorder="1"/>
    <xf numFmtId="165" fontId="54" fillId="9" borderId="2" xfId="0" applyNumberFormat="1" applyFont="1" applyFill="1" applyBorder="1" applyAlignment="1">
      <alignment horizontal="center"/>
    </xf>
    <xf numFmtId="165" fontId="54" fillId="9" borderId="2" xfId="0" applyNumberFormat="1" applyFont="1" applyFill="1" applyBorder="1"/>
    <xf numFmtId="0" fontId="52" fillId="12" borderId="2" xfId="1" applyFont="1" applyFill="1" applyBorder="1" applyAlignment="1">
      <alignment horizontal="center"/>
    </xf>
    <xf numFmtId="165" fontId="53" fillId="4" borderId="2" xfId="1" applyNumberFormat="1" applyFont="1" applyFill="1" applyBorder="1" applyAlignment="1">
      <alignment horizontal="center"/>
    </xf>
    <xf numFmtId="0" fontId="52" fillId="4" borderId="2" xfId="1" applyFont="1" applyFill="1" applyBorder="1" applyAlignment="1">
      <alignment horizontal="center"/>
    </xf>
    <xf numFmtId="0" fontId="52" fillId="0" borderId="2" xfId="1" applyFont="1" applyFill="1" applyBorder="1" applyAlignment="1">
      <alignment horizontal="center"/>
    </xf>
    <xf numFmtId="165" fontId="53" fillId="9" borderId="2" xfId="1" applyNumberFormat="1" applyFont="1" applyFill="1" applyBorder="1" applyAlignment="1">
      <alignment horizontal="center"/>
    </xf>
    <xf numFmtId="0" fontId="53" fillId="0" borderId="2" xfId="0" applyFont="1" applyBorder="1"/>
    <xf numFmtId="0" fontId="53" fillId="0" borderId="2" xfId="0" applyFont="1" applyFill="1" applyBorder="1"/>
    <xf numFmtId="165" fontId="53" fillId="0" borderId="2" xfId="1" applyNumberFormat="1" applyFont="1" applyBorder="1" applyAlignment="1">
      <alignment horizontal="center"/>
    </xf>
    <xf numFmtId="165" fontId="53" fillId="0" borderId="2" xfId="0" applyNumberFormat="1" applyFont="1" applyFill="1" applyBorder="1"/>
    <xf numFmtId="165" fontId="53" fillId="0" borderId="2" xfId="0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2" xfId="0" applyFont="1" applyBorder="1"/>
    <xf numFmtId="0" fontId="31" fillId="4" borderId="2" xfId="0" applyFont="1" applyFill="1" applyBorder="1"/>
    <xf numFmtId="165" fontId="17" fillId="5" borderId="2" xfId="0" applyNumberFormat="1" applyFont="1" applyFill="1" applyBorder="1" applyAlignment="1">
      <alignment horizontal="center"/>
    </xf>
    <xf numFmtId="166" fontId="17" fillId="12" borderId="2" xfId="1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26" fillId="4" borderId="2" xfId="1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166" fontId="26" fillId="4" borderId="2" xfId="0" applyNumberFormat="1" applyFont="1" applyFill="1" applyBorder="1" applyAlignment="1">
      <alignment horizontal="center"/>
    </xf>
    <xf numFmtId="165" fontId="17" fillId="12" borderId="2" xfId="0" applyNumberFormat="1" applyFont="1" applyFill="1" applyBorder="1" applyAlignment="1">
      <alignment horizontal="center"/>
    </xf>
    <xf numFmtId="165" fontId="17" fillId="12" borderId="2" xfId="0" applyNumberFormat="1" applyFont="1" applyFill="1" applyBorder="1"/>
    <xf numFmtId="166" fontId="7" fillId="13" borderId="2" xfId="0" applyNumberFormat="1" applyFont="1" applyFill="1" applyBorder="1" applyAlignment="1">
      <alignment horizontal="center"/>
    </xf>
    <xf numFmtId="0" fontId="30" fillId="6" borderId="2" xfId="0" applyFont="1" applyFill="1" applyBorder="1" applyAlignment="1">
      <alignment horizontal="left"/>
    </xf>
    <xf numFmtId="0" fontId="30" fillId="6" borderId="2" xfId="0" applyFont="1" applyFill="1" applyBorder="1"/>
    <xf numFmtId="4" fontId="18" fillId="6" borderId="2" xfId="0" applyNumberFormat="1" applyFont="1" applyFill="1" applyBorder="1"/>
    <xf numFmtId="165" fontId="18" fillId="6" borderId="2" xfId="0" applyNumberFormat="1" applyFont="1" applyFill="1" applyBorder="1" applyAlignment="1">
      <alignment horizontal="right"/>
    </xf>
    <xf numFmtId="165" fontId="9" fillId="4" borderId="2" xfId="0" applyNumberFormat="1" applyFont="1" applyFill="1" applyBorder="1"/>
    <xf numFmtId="166" fontId="26" fillId="0" borderId="2" xfId="0" applyNumberFormat="1" applyFont="1" applyBorder="1"/>
    <xf numFmtId="166" fontId="23" fillId="6" borderId="2" xfId="0" applyNumberFormat="1" applyFont="1" applyFill="1" applyBorder="1"/>
    <xf numFmtId="4" fontId="18" fillId="0" borderId="2" xfId="0" applyNumberFormat="1" applyFont="1" applyBorder="1"/>
    <xf numFmtId="4" fontId="18" fillId="0" borderId="2" xfId="0" applyNumberFormat="1" applyFont="1" applyFill="1" applyBorder="1"/>
    <xf numFmtId="166" fontId="18" fillId="0" borderId="2" xfId="0" applyNumberFormat="1" applyFont="1" applyBorder="1"/>
    <xf numFmtId="4" fontId="1" fillId="5" borderId="2" xfId="0" applyNumberFormat="1" applyFont="1" applyFill="1" applyBorder="1"/>
    <xf numFmtId="4" fontId="1" fillId="6" borderId="2" xfId="0" applyNumberFormat="1" applyFont="1" applyFill="1" applyBorder="1"/>
    <xf numFmtId="2" fontId="18" fillId="0" borderId="11" xfId="0" applyNumberFormat="1" applyFont="1" applyFill="1" applyBorder="1"/>
    <xf numFmtId="4" fontId="18" fillId="4" borderId="2" xfId="0" applyNumberFormat="1" applyFont="1" applyFill="1" applyBorder="1"/>
    <xf numFmtId="4" fontId="1" fillId="9" borderId="2" xfId="0" applyNumberFormat="1" applyFont="1" applyFill="1" applyBorder="1"/>
    <xf numFmtId="165" fontId="1" fillId="8" borderId="2" xfId="0" applyNumberFormat="1" applyFont="1" applyFill="1" applyBorder="1" applyAlignment="1">
      <alignment horizontal="right"/>
    </xf>
    <xf numFmtId="0" fontId="59" fillId="0" borderId="2" xfId="0" applyFont="1" applyBorder="1"/>
    <xf numFmtId="165" fontId="18" fillId="4" borderId="2" xfId="0" applyNumberFormat="1" applyFont="1" applyFill="1" applyBorder="1" applyAlignment="1">
      <alignment horizontal="right"/>
    </xf>
    <xf numFmtId="0" fontId="25" fillId="4" borderId="0" xfId="0" applyFont="1" applyFill="1"/>
    <xf numFmtId="0" fontId="45" fillId="4" borderId="2" xfId="0" applyFont="1" applyFill="1" applyBorder="1"/>
    <xf numFmtId="165" fontId="18" fillId="4" borderId="2" xfId="0" applyNumberFormat="1" applyFont="1" applyFill="1" applyBorder="1"/>
    <xf numFmtId="0" fontId="59" fillId="4" borderId="2" xfId="0" applyFont="1" applyFill="1" applyBorder="1"/>
    <xf numFmtId="0" fontId="18" fillId="4" borderId="2" xfId="0" applyFont="1" applyFill="1" applyBorder="1"/>
    <xf numFmtId="165" fontId="18" fillId="4" borderId="11" xfId="0" applyNumberFormat="1" applyFont="1" applyFill="1" applyBorder="1"/>
    <xf numFmtId="166" fontId="18" fillId="4" borderId="2" xfId="0" applyNumberFormat="1" applyFont="1" applyFill="1" applyBorder="1"/>
    <xf numFmtId="49" fontId="12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right"/>
    </xf>
    <xf numFmtId="165" fontId="7" fillId="4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5" fillId="0" borderId="2" xfId="0" applyFont="1" applyFill="1" applyBorder="1"/>
    <xf numFmtId="165" fontId="12" fillId="0" borderId="2" xfId="0" applyNumberFormat="1" applyFont="1" applyFill="1" applyBorder="1"/>
    <xf numFmtId="0" fontId="59" fillId="0" borderId="2" xfId="0" applyFont="1" applyFill="1" applyBorder="1"/>
    <xf numFmtId="0" fontId="12" fillId="0" borderId="4" xfId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0" fontId="26" fillId="0" borderId="2" xfId="1" applyFont="1" applyFill="1" applyBorder="1" applyAlignment="1">
      <alignment horizontal="left" vertical="top" wrapText="1"/>
    </xf>
    <xf numFmtId="3" fontId="52" fillId="4" borderId="2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wrapText="1"/>
    </xf>
    <xf numFmtId="166" fontId="5" fillId="4" borderId="2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2" fillId="4" borderId="1" xfId="1" applyNumberFormat="1" applyFont="1" applyFill="1" applyBorder="1" applyAlignment="1">
      <alignment horizontal="center"/>
    </xf>
    <xf numFmtId="3" fontId="52" fillId="4" borderId="10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67" fontId="9" fillId="4" borderId="1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165" fontId="10" fillId="5" borderId="2" xfId="0" applyNumberFormat="1" applyFont="1" applyFill="1" applyBorder="1"/>
    <xf numFmtId="166" fontId="10" fillId="12" borderId="2" xfId="1" applyNumberFormat="1" applyFont="1" applyFill="1" applyBorder="1" applyAlignment="1"/>
    <xf numFmtId="4" fontId="10" fillId="12" borderId="2" xfId="1" applyNumberFormat="1" applyFont="1" applyFill="1" applyBorder="1" applyAlignment="1">
      <alignment horizontal="center"/>
    </xf>
    <xf numFmtId="166" fontId="10" fillId="12" borderId="2" xfId="0" applyNumberFormat="1" applyFont="1" applyFill="1" applyBorder="1"/>
    <xf numFmtId="0" fontId="9" fillId="4" borderId="2" xfId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/>
    <xf numFmtId="166" fontId="9" fillId="0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8" fillId="4" borderId="1" xfId="0" applyFont="1" applyFill="1" applyBorder="1" applyAlignment="1">
      <alignment horizontal="center"/>
    </xf>
    <xf numFmtId="0" fontId="18" fillId="4" borderId="1" xfId="1" applyFont="1" applyFill="1" applyBorder="1" applyAlignment="1">
      <alignment horizontal="left" wrapText="1"/>
    </xf>
    <xf numFmtId="166" fontId="19" fillId="4" borderId="1" xfId="1" applyNumberFormat="1" applyFont="1" applyFill="1" applyBorder="1" applyAlignment="1">
      <alignment horizont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166" fontId="18" fillId="4" borderId="1" xfId="1" applyNumberFormat="1" applyFont="1" applyFill="1" applyBorder="1" applyAlignment="1">
      <alignment horizontal="center"/>
    </xf>
    <xf numFmtId="0" fontId="18" fillId="4" borderId="1" xfId="0" applyFont="1" applyFill="1" applyBorder="1"/>
    <xf numFmtId="166" fontId="50" fillId="4" borderId="0" xfId="1" applyNumberFormat="1" applyFont="1" applyFill="1" applyBorder="1" applyAlignment="1">
      <alignment horizontal="center"/>
    </xf>
    <xf numFmtId="165" fontId="47" fillId="0" borderId="0" xfId="0" applyNumberFormat="1" applyFont="1" applyBorder="1"/>
    <xf numFmtId="165" fontId="9" fillId="4" borderId="11" xfId="0" applyNumberFormat="1" applyFont="1" applyFill="1" applyBorder="1" applyAlignment="1">
      <alignment horizontal="right"/>
    </xf>
    <xf numFmtId="171" fontId="9" fillId="4" borderId="2" xfId="0" applyNumberFormat="1" applyFont="1" applyFill="1" applyBorder="1"/>
    <xf numFmtId="3" fontId="26" fillId="5" borderId="2" xfId="0" applyNumberFormat="1" applyFont="1" applyFill="1" applyBorder="1"/>
    <xf numFmtId="170" fontId="1" fillId="6" borderId="11" xfId="1" applyNumberFormat="1" applyFont="1" applyFill="1" applyBorder="1" applyAlignment="1">
      <alignment horizontal="right"/>
    </xf>
    <xf numFmtId="1" fontId="49" fillId="0" borderId="2" xfId="0" applyNumberFormat="1" applyFont="1" applyBorder="1"/>
    <xf numFmtId="170" fontId="8" fillId="0" borderId="2" xfId="1" applyNumberFormat="1" applyFont="1" applyFill="1" applyBorder="1" applyAlignment="1">
      <alignment horizontal="center"/>
    </xf>
    <xf numFmtId="170" fontId="8" fillId="12" borderId="2" xfId="1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right"/>
    </xf>
    <xf numFmtId="164" fontId="7" fillId="12" borderId="2" xfId="0" applyNumberFormat="1" applyFont="1" applyFill="1" applyBorder="1"/>
    <xf numFmtId="0" fontId="17" fillId="0" borderId="2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7" fillId="4" borderId="2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6" fillId="0" borderId="13" xfId="0" applyFont="1" applyBorder="1" applyAlignment="1"/>
    <xf numFmtId="0" fontId="16" fillId="0" borderId="5" xfId="0" applyFont="1" applyBorder="1" applyAlignment="1"/>
    <xf numFmtId="0" fontId="16" fillId="0" borderId="2" xfId="0" applyFont="1" applyBorder="1" applyAlignment="1"/>
    <xf numFmtId="0" fontId="17" fillId="0" borderId="2" xfId="0" applyFont="1" applyFill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0" fontId="17" fillId="4" borderId="13" xfId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4" borderId="1" xfId="0" applyFont="1" applyFill="1" applyBorder="1" applyAlignment="1"/>
    <xf numFmtId="0" fontId="16" fillId="0" borderId="7" xfId="0" applyFont="1" applyBorder="1" applyAlignment="1"/>
    <xf numFmtId="0" fontId="12" fillId="4" borderId="0" xfId="0" applyFont="1" applyFill="1" applyAlignment="1">
      <alignment horizontal="right" wrapText="1"/>
    </xf>
    <xf numFmtId="0" fontId="1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17" fillId="0" borderId="11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9" fillId="0" borderId="0" xfId="0" applyFont="1" applyAlignment="1">
      <alignment horizontal="right"/>
    </xf>
    <xf numFmtId="0" fontId="37" fillId="0" borderId="0" xfId="0" applyFont="1" applyAlignment="1">
      <alignment wrapText="1"/>
    </xf>
    <xf numFmtId="0" fontId="52" fillId="0" borderId="2" xfId="0" applyFont="1" applyBorder="1" applyAlignment="1">
      <alignment horizontal="center"/>
    </xf>
    <xf numFmtId="0" fontId="57" fillId="0" borderId="2" xfId="0" applyFont="1" applyBorder="1" applyAlignment="1"/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1" fillId="4" borderId="0" xfId="0" applyFont="1" applyFill="1" applyBorder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17">
    <cellStyle name="xl26" xfId="16"/>
    <cellStyle name="xl31" xfId="10"/>
    <cellStyle name="xl32" xfId="11"/>
    <cellStyle name="xl34" xfId="14"/>
    <cellStyle name="xl35" xfId="12"/>
    <cellStyle name="xl39" xfId="15"/>
    <cellStyle name="Обычный" xfId="0" builtinId="0"/>
    <cellStyle name="Обычный 10" xfId="4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Обычный 9" xfId="1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3"/>
      <c r="B1" s="67" t="s">
        <v>141</v>
      </c>
      <c r="C1" s="67" t="s">
        <v>15</v>
      </c>
      <c r="D1" s="67" t="s">
        <v>67</v>
      </c>
      <c r="E1" s="67" t="s">
        <v>137</v>
      </c>
      <c r="F1" s="67" t="s">
        <v>138</v>
      </c>
    </row>
    <row r="2" spans="1:6" ht="29.25" x14ac:dyDescent="0.25">
      <c r="A2" s="20" t="s">
        <v>55</v>
      </c>
      <c r="B2" s="35" t="s">
        <v>59</v>
      </c>
      <c r="C2" s="43"/>
      <c r="D2" s="5" t="s">
        <v>2</v>
      </c>
      <c r="E2" s="37">
        <f>E3+E5</f>
        <v>3243.7530000000002</v>
      </c>
      <c r="F2" s="37">
        <f>F3+F5</f>
        <v>2511.0529999999999</v>
      </c>
    </row>
    <row r="3" spans="1:6" ht="15.75" x14ac:dyDescent="0.25">
      <c r="A3" s="44"/>
      <c r="B3" s="45"/>
      <c r="C3" s="43"/>
      <c r="D3" s="6" t="s">
        <v>3</v>
      </c>
      <c r="E3" s="38">
        <f>SUM(E7:E16)</f>
        <v>1226.8430000000001</v>
      </c>
      <c r="F3" s="38">
        <f>SUM(F7:F16)</f>
        <v>1226.8430000000001</v>
      </c>
    </row>
    <row r="4" spans="1:6" ht="15.75" x14ac:dyDescent="0.25">
      <c r="A4" s="44"/>
      <c r="B4" s="45"/>
      <c r="C4" s="43"/>
      <c r="D4" s="6" t="s">
        <v>4</v>
      </c>
      <c r="E4" s="38"/>
      <c r="F4" s="38"/>
    </row>
    <row r="5" spans="1:6" ht="15.75" x14ac:dyDescent="0.25">
      <c r="A5" s="44"/>
      <c r="B5" s="45"/>
      <c r="C5" s="43"/>
      <c r="D5" s="6" t="s">
        <v>5</v>
      </c>
      <c r="E5" s="37">
        <f>SUM(E18:E33)</f>
        <v>2016.91</v>
      </c>
      <c r="F5" s="37">
        <f>SUM(F18:F33)</f>
        <v>1284.21</v>
      </c>
    </row>
    <row r="6" spans="1:6" ht="11.25" customHeight="1" x14ac:dyDescent="0.25">
      <c r="A6" s="31"/>
      <c r="B6" s="15" t="s">
        <v>88</v>
      </c>
      <c r="C6" s="13"/>
      <c r="D6" s="8"/>
      <c r="E6" s="27"/>
      <c r="F6" s="31"/>
    </row>
    <row r="7" spans="1:6" ht="30" x14ac:dyDescent="0.25">
      <c r="A7" s="31"/>
      <c r="B7" s="1" t="s">
        <v>89</v>
      </c>
      <c r="C7" s="9" t="s">
        <v>83</v>
      </c>
      <c r="D7" s="8" t="s">
        <v>3</v>
      </c>
      <c r="E7" s="34">
        <v>67.819000000000003</v>
      </c>
      <c r="F7" s="65">
        <f>E7</f>
        <v>67.819000000000003</v>
      </c>
    </row>
    <row r="8" spans="1:6" ht="30" x14ac:dyDescent="0.25">
      <c r="A8" s="31"/>
      <c r="B8" s="1" t="s">
        <v>89</v>
      </c>
      <c r="C8" s="9" t="s">
        <v>90</v>
      </c>
      <c r="D8" s="8" t="s">
        <v>3</v>
      </c>
      <c r="E8" s="34">
        <v>67.819000000000003</v>
      </c>
      <c r="F8" s="65">
        <f t="shared" ref="F8:F33" si="0">E8</f>
        <v>67.819000000000003</v>
      </c>
    </row>
    <row r="9" spans="1:6" ht="30" x14ac:dyDescent="0.25">
      <c r="A9" s="31"/>
      <c r="B9" s="2" t="s">
        <v>120</v>
      </c>
      <c r="C9" s="11" t="s">
        <v>25</v>
      </c>
      <c r="D9" s="8" t="s">
        <v>3</v>
      </c>
      <c r="E9" s="34">
        <v>67.819000000000003</v>
      </c>
      <c r="F9" s="65">
        <f t="shared" si="0"/>
        <v>67.819000000000003</v>
      </c>
    </row>
    <row r="10" spans="1:6" x14ac:dyDescent="0.25">
      <c r="A10" s="31"/>
      <c r="B10" s="2" t="s">
        <v>121</v>
      </c>
      <c r="C10" s="11" t="s">
        <v>29</v>
      </c>
      <c r="D10" s="8" t="s">
        <v>3</v>
      </c>
      <c r="E10" s="34">
        <v>491.58199999999999</v>
      </c>
      <c r="F10" s="65">
        <f t="shared" si="0"/>
        <v>491.58199999999999</v>
      </c>
    </row>
    <row r="11" spans="1:6" ht="30" x14ac:dyDescent="0.25">
      <c r="A11" s="31"/>
      <c r="B11" s="1" t="s">
        <v>91</v>
      </c>
      <c r="C11" s="9" t="s">
        <v>35</v>
      </c>
      <c r="D11" s="8" t="s">
        <v>3</v>
      </c>
      <c r="E11" s="46">
        <v>92</v>
      </c>
      <c r="F11" s="66">
        <f t="shared" si="0"/>
        <v>92</v>
      </c>
    </row>
    <row r="12" spans="1:6" ht="30" x14ac:dyDescent="0.25">
      <c r="A12" s="31"/>
      <c r="B12" s="1" t="s">
        <v>92</v>
      </c>
      <c r="C12" s="9" t="s">
        <v>33</v>
      </c>
      <c r="D12" s="8" t="s">
        <v>3</v>
      </c>
      <c r="E12" s="46">
        <v>98</v>
      </c>
      <c r="F12" s="66">
        <f t="shared" si="0"/>
        <v>98</v>
      </c>
    </row>
    <row r="13" spans="1:6" x14ac:dyDescent="0.25">
      <c r="A13" s="31"/>
      <c r="B13" s="1" t="s">
        <v>93</v>
      </c>
      <c r="C13" s="9" t="s">
        <v>40</v>
      </c>
      <c r="D13" s="8" t="s">
        <v>3</v>
      </c>
      <c r="E13" s="34">
        <v>176.304</v>
      </c>
      <c r="F13" s="66">
        <f t="shared" si="0"/>
        <v>176.304</v>
      </c>
    </row>
    <row r="14" spans="1:6" ht="30" x14ac:dyDescent="0.25">
      <c r="A14" s="31"/>
      <c r="B14" s="2" t="s">
        <v>91</v>
      </c>
      <c r="C14" s="11" t="s">
        <v>123</v>
      </c>
      <c r="D14" s="8" t="s">
        <v>3</v>
      </c>
      <c r="E14" s="46">
        <v>25</v>
      </c>
      <c r="F14" s="66">
        <f t="shared" si="0"/>
        <v>25</v>
      </c>
    </row>
    <row r="15" spans="1:6" ht="30" x14ac:dyDescent="0.25">
      <c r="A15" s="31"/>
      <c r="B15" s="2" t="s">
        <v>91</v>
      </c>
      <c r="C15" s="11" t="s">
        <v>122</v>
      </c>
      <c r="D15" s="8" t="s">
        <v>3</v>
      </c>
      <c r="E15" s="46">
        <v>57.5</v>
      </c>
      <c r="F15" s="66">
        <f t="shared" si="0"/>
        <v>57.5</v>
      </c>
    </row>
    <row r="16" spans="1:6" ht="30" x14ac:dyDescent="0.25">
      <c r="A16" s="31"/>
      <c r="B16" s="2" t="s">
        <v>91</v>
      </c>
      <c r="C16" s="11" t="s">
        <v>38</v>
      </c>
      <c r="D16" s="8" t="s">
        <v>3</v>
      </c>
      <c r="E16" s="46">
        <v>83</v>
      </c>
      <c r="F16" s="66">
        <f t="shared" si="0"/>
        <v>83</v>
      </c>
    </row>
    <row r="17" spans="1:9" x14ac:dyDescent="0.25">
      <c r="A17" s="31"/>
      <c r="B17" s="15" t="s">
        <v>19</v>
      </c>
      <c r="C17" s="13"/>
      <c r="D17" s="8"/>
      <c r="E17" s="27"/>
      <c r="F17" s="53">
        <f t="shared" si="0"/>
        <v>0</v>
      </c>
    </row>
    <row r="18" spans="1:9" ht="30" x14ac:dyDescent="0.25">
      <c r="A18" s="31"/>
      <c r="B18" s="2" t="s">
        <v>119</v>
      </c>
      <c r="C18" s="11" t="s">
        <v>40</v>
      </c>
      <c r="D18" s="8" t="s">
        <v>5</v>
      </c>
      <c r="E18" s="46">
        <v>486.71</v>
      </c>
      <c r="F18" s="53">
        <f t="shared" si="0"/>
        <v>486.71</v>
      </c>
    </row>
    <row r="19" spans="1:9" ht="30" x14ac:dyDescent="0.25">
      <c r="A19" s="31"/>
      <c r="B19" s="2" t="s">
        <v>142</v>
      </c>
      <c r="C19" s="9" t="s">
        <v>31</v>
      </c>
      <c r="D19" s="8" t="s">
        <v>5</v>
      </c>
      <c r="E19" s="46">
        <v>16</v>
      </c>
      <c r="F19" s="53">
        <f t="shared" si="0"/>
        <v>16</v>
      </c>
    </row>
    <row r="20" spans="1:9" ht="30" x14ac:dyDescent="0.25">
      <c r="A20" s="31"/>
      <c r="B20" s="1" t="s">
        <v>89</v>
      </c>
      <c r="C20" s="9" t="s">
        <v>25</v>
      </c>
      <c r="D20" s="8" t="s">
        <v>5</v>
      </c>
      <c r="E20" s="46"/>
      <c r="F20" s="53"/>
      <c r="G20" s="30"/>
      <c r="H20" s="30"/>
      <c r="I20" s="30" t="s">
        <v>143</v>
      </c>
    </row>
    <row r="21" spans="1:9" ht="30" x14ac:dyDescent="0.25">
      <c r="A21" s="31"/>
      <c r="B21" s="1" t="s">
        <v>91</v>
      </c>
      <c r="C21" s="9" t="s">
        <v>35</v>
      </c>
      <c r="D21" s="8" t="s">
        <v>5</v>
      </c>
      <c r="E21" s="46">
        <v>15</v>
      </c>
      <c r="F21" s="53">
        <f t="shared" si="0"/>
        <v>15</v>
      </c>
      <c r="G21" s="30" t="s">
        <v>144</v>
      </c>
      <c r="H21" s="30">
        <v>1832.0050000000001</v>
      </c>
      <c r="I21" s="30">
        <v>296.91399999999999</v>
      </c>
    </row>
    <row r="22" spans="1:9" ht="30" x14ac:dyDescent="0.25">
      <c r="A22" s="31"/>
      <c r="B22" s="1" t="s">
        <v>94</v>
      </c>
      <c r="C22" s="9" t="s">
        <v>95</v>
      </c>
      <c r="D22" s="8" t="s">
        <v>5</v>
      </c>
      <c r="E22" s="46">
        <v>732.7</v>
      </c>
      <c r="F22" s="53">
        <v>0</v>
      </c>
    </row>
    <row r="23" spans="1:9" ht="30" x14ac:dyDescent="0.25">
      <c r="A23" s="31"/>
      <c r="B23" s="1" t="s">
        <v>114</v>
      </c>
      <c r="C23" s="9" t="s">
        <v>113</v>
      </c>
      <c r="D23" s="8" t="s">
        <v>5</v>
      </c>
      <c r="E23" s="46">
        <v>70</v>
      </c>
      <c r="F23" s="53">
        <f t="shared" si="0"/>
        <v>70</v>
      </c>
    </row>
    <row r="24" spans="1:9" ht="30" x14ac:dyDescent="0.25">
      <c r="A24" s="31"/>
      <c r="B24" s="1" t="s">
        <v>96</v>
      </c>
      <c r="C24" s="9" t="s">
        <v>38</v>
      </c>
      <c r="D24" s="8" t="s">
        <v>5</v>
      </c>
      <c r="E24" s="46">
        <v>69</v>
      </c>
      <c r="F24" s="53">
        <f t="shared" si="0"/>
        <v>69</v>
      </c>
    </row>
    <row r="25" spans="1:9" ht="30" x14ac:dyDescent="0.25">
      <c r="A25" s="31"/>
      <c r="B25" s="1" t="s">
        <v>97</v>
      </c>
      <c r="C25" s="9" t="s">
        <v>38</v>
      </c>
      <c r="D25" s="8" t="s">
        <v>5</v>
      </c>
      <c r="E25" s="46">
        <v>20</v>
      </c>
      <c r="F25" s="53">
        <f t="shared" si="0"/>
        <v>20</v>
      </c>
    </row>
    <row r="26" spans="1:9" ht="30" x14ac:dyDescent="0.25">
      <c r="A26" s="31"/>
      <c r="B26" s="1" t="s">
        <v>98</v>
      </c>
      <c r="C26" s="9" t="s">
        <v>99</v>
      </c>
      <c r="D26" s="8" t="s">
        <v>5</v>
      </c>
      <c r="E26" s="46">
        <v>80</v>
      </c>
      <c r="F26" s="53">
        <f t="shared" si="0"/>
        <v>80</v>
      </c>
    </row>
    <row r="27" spans="1:9" ht="15.75" customHeight="1" x14ac:dyDescent="0.25">
      <c r="A27" s="31"/>
      <c r="B27" s="1" t="s">
        <v>131</v>
      </c>
      <c r="C27" s="9" t="s">
        <v>99</v>
      </c>
      <c r="D27" s="8" t="s">
        <v>5</v>
      </c>
      <c r="E27" s="46">
        <v>130</v>
      </c>
      <c r="F27" s="53">
        <f t="shared" si="0"/>
        <v>130</v>
      </c>
    </row>
    <row r="28" spans="1:9" ht="30" x14ac:dyDescent="0.25">
      <c r="A28" s="31"/>
      <c r="B28" s="1" t="s">
        <v>100</v>
      </c>
      <c r="C28" s="9" t="s">
        <v>11</v>
      </c>
      <c r="D28" s="8" t="s">
        <v>5</v>
      </c>
      <c r="E28" s="46">
        <v>100</v>
      </c>
      <c r="F28" s="53">
        <f t="shared" si="0"/>
        <v>100</v>
      </c>
    </row>
    <row r="29" spans="1:9" ht="30" x14ac:dyDescent="0.25">
      <c r="A29" s="31"/>
      <c r="B29" s="1" t="s">
        <v>133</v>
      </c>
      <c r="C29" s="9" t="s">
        <v>11</v>
      </c>
      <c r="D29" s="8" t="s">
        <v>5</v>
      </c>
      <c r="E29" s="46">
        <v>100</v>
      </c>
      <c r="F29" s="53">
        <f t="shared" si="0"/>
        <v>100</v>
      </c>
    </row>
    <row r="30" spans="1:9" ht="30" x14ac:dyDescent="0.25">
      <c r="A30" s="31"/>
      <c r="B30" s="1" t="s">
        <v>96</v>
      </c>
      <c r="C30" s="9" t="s">
        <v>11</v>
      </c>
      <c r="D30" s="8" t="s">
        <v>5</v>
      </c>
      <c r="E30" s="46">
        <v>42.5</v>
      </c>
      <c r="F30" s="53">
        <f t="shared" si="0"/>
        <v>42.5</v>
      </c>
    </row>
    <row r="31" spans="1:9" ht="30" x14ac:dyDescent="0.25">
      <c r="A31" s="31"/>
      <c r="B31" s="1" t="s">
        <v>101</v>
      </c>
      <c r="C31" s="9" t="s">
        <v>11</v>
      </c>
      <c r="D31" s="8" t="s">
        <v>5</v>
      </c>
      <c r="E31" s="46">
        <v>50</v>
      </c>
      <c r="F31" s="53">
        <f t="shared" si="0"/>
        <v>50</v>
      </c>
    </row>
    <row r="32" spans="1:9" x14ac:dyDescent="0.25">
      <c r="A32" s="31"/>
      <c r="B32" s="1" t="s">
        <v>102</v>
      </c>
      <c r="C32" s="9" t="s">
        <v>27</v>
      </c>
      <c r="D32" s="8" t="s">
        <v>5</v>
      </c>
      <c r="E32" s="46">
        <v>72</v>
      </c>
      <c r="F32" s="53">
        <f t="shared" si="0"/>
        <v>72</v>
      </c>
    </row>
    <row r="33" spans="1:6" x14ac:dyDescent="0.25">
      <c r="A33" s="31"/>
      <c r="B33" s="2" t="s">
        <v>125</v>
      </c>
      <c r="C33" s="11" t="s">
        <v>79</v>
      </c>
      <c r="D33" s="8" t="s">
        <v>5</v>
      </c>
      <c r="E33" s="46">
        <v>33</v>
      </c>
      <c r="F33" s="53">
        <f t="shared" si="0"/>
        <v>33</v>
      </c>
    </row>
    <row r="34" spans="1:6" ht="43.5" x14ac:dyDescent="0.25">
      <c r="A34" s="20" t="s">
        <v>56</v>
      </c>
      <c r="B34" s="35" t="s">
        <v>75</v>
      </c>
      <c r="C34" s="36"/>
      <c r="D34" s="5" t="s">
        <v>2</v>
      </c>
      <c r="E34" s="25">
        <f>E35+E36+E37</f>
        <v>4850.7353000000003</v>
      </c>
      <c r="F34" s="52">
        <f>F35+F36+F37</f>
        <v>3233.2550000000001</v>
      </c>
    </row>
    <row r="35" spans="1:6" x14ac:dyDescent="0.25">
      <c r="A35" s="20"/>
      <c r="B35" s="35"/>
      <c r="C35" s="36"/>
      <c r="D35" s="6" t="s">
        <v>3</v>
      </c>
      <c r="E35" s="37">
        <f>E39</f>
        <v>1346.1573000000001</v>
      </c>
      <c r="F35" s="37">
        <f>F39</f>
        <v>702.90700000000004</v>
      </c>
    </row>
    <row r="36" spans="1:6" x14ac:dyDescent="0.25">
      <c r="A36" s="20"/>
      <c r="B36" s="35"/>
      <c r="C36" s="36"/>
      <c r="D36" s="6" t="s">
        <v>4</v>
      </c>
      <c r="E36" s="38"/>
      <c r="F36" s="38"/>
    </row>
    <row r="37" spans="1:6" x14ac:dyDescent="0.25">
      <c r="A37" s="20"/>
      <c r="B37" s="35"/>
      <c r="C37" s="36"/>
      <c r="D37" s="6" t="s">
        <v>5</v>
      </c>
      <c r="E37" s="39">
        <f>SUM(E41:E56)</f>
        <v>3504.578</v>
      </c>
      <c r="F37" s="39">
        <f>SUM(F41:F56)</f>
        <v>2530.348</v>
      </c>
    </row>
    <row r="38" spans="1:6" x14ac:dyDescent="0.25">
      <c r="A38" s="19"/>
      <c r="B38" s="18" t="s">
        <v>88</v>
      </c>
      <c r="C38" s="14"/>
      <c r="D38" s="7"/>
      <c r="E38" s="22"/>
      <c r="F38" s="65"/>
    </row>
    <row r="39" spans="1:6" x14ac:dyDescent="0.25">
      <c r="A39" s="19"/>
      <c r="B39" s="2" t="s">
        <v>28</v>
      </c>
      <c r="C39" s="11" t="s">
        <v>29</v>
      </c>
      <c r="D39" s="8" t="s">
        <v>3</v>
      </c>
      <c r="E39" s="47">
        <v>1346.1573000000001</v>
      </c>
      <c r="F39" s="65">
        <v>702.90700000000004</v>
      </c>
    </row>
    <row r="40" spans="1:6" x14ac:dyDescent="0.25">
      <c r="A40" s="19"/>
      <c r="B40" s="18" t="s">
        <v>19</v>
      </c>
      <c r="C40" s="11"/>
      <c r="D40" s="7"/>
      <c r="E40" s="48"/>
      <c r="F40" s="31"/>
    </row>
    <row r="41" spans="1:6" ht="30" x14ac:dyDescent="0.25">
      <c r="A41" s="19"/>
      <c r="B41" s="2" t="s">
        <v>127</v>
      </c>
      <c r="C41" s="11" t="s">
        <v>32</v>
      </c>
      <c r="D41" s="8" t="s">
        <v>5</v>
      </c>
      <c r="E41" s="47">
        <v>37</v>
      </c>
      <c r="F41" s="54">
        <f>E41</f>
        <v>37</v>
      </c>
    </row>
    <row r="42" spans="1:6" ht="60" x14ac:dyDescent="0.25">
      <c r="A42" s="19"/>
      <c r="B42" s="2" t="s">
        <v>134</v>
      </c>
      <c r="C42" s="11" t="s">
        <v>103</v>
      </c>
      <c r="D42" s="8" t="s">
        <v>5</v>
      </c>
      <c r="E42" s="47">
        <v>150</v>
      </c>
      <c r="F42" s="54">
        <f t="shared" ref="F42:F56" si="1">E42</f>
        <v>150</v>
      </c>
    </row>
    <row r="43" spans="1:6" x14ac:dyDescent="0.25">
      <c r="A43" s="19"/>
      <c r="B43" s="2" t="s">
        <v>104</v>
      </c>
      <c r="C43" s="11" t="s">
        <v>103</v>
      </c>
      <c r="D43" s="8" t="s">
        <v>5</v>
      </c>
      <c r="E43" s="47">
        <v>200</v>
      </c>
      <c r="F43" s="54"/>
    </row>
    <row r="44" spans="1:6" x14ac:dyDescent="0.25">
      <c r="A44" s="19"/>
      <c r="B44" s="2" t="s">
        <v>36</v>
      </c>
      <c r="C44" s="11" t="s">
        <v>20</v>
      </c>
      <c r="D44" s="8" t="s">
        <v>5</v>
      </c>
      <c r="E44" s="47">
        <v>850.39</v>
      </c>
      <c r="F44" s="54">
        <f t="shared" si="1"/>
        <v>850.39</v>
      </c>
    </row>
    <row r="45" spans="1:6" x14ac:dyDescent="0.25">
      <c r="A45" s="19"/>
      <c r="B45" s="2" t="s">
        <v>135</v>
      </c>
      <c r="C45" s="11" t="s">
        <v>72</v>
      </c>
      <c r="D45" s="8" t="s">
        <v>5</v>
      </c>
      <c r="E45" s="47">
        <v>0</v>
      </c>
      <c r="F45" s="54">
        <f t="shared" si="1"/>
        <v>0</v>
      </c>
    </row>
    <row r="46" spans="1:6" ht="18.75" customHeight="1" x14ac:dyDescent="0.25">
      <c r="A46" s="19"/>
      <c r="B46" s="2" t="s">
        <v>39</v>
      </c>
      <c r="C46" s="11" t="s">
        <v>40</v>
      </c>
      <c r="D46" s="8" t="s">
        <v>5</v>
      </c>
      <c r="E46" s="47">
        <v>200</v>
      </c>
      <c r="F46" s="54">
        <v>0</v>
      </c>
    </row>
    <row r="47" spans="1:6" x14ac:dyDescent="0.25">
      <c r="A47" s="19"/>
      <c r="B47" s="2" t="s">
        <v>34</v>
      </c>
      <c r="C47" s="11" t="s">
        <v>18</v>
      </c>
      <c r="D47" s="8" t="s">
        <v>5</v>
      </c>
      <c r="E47" s="47">
        <v>238.12799999999999</v>
      </c>
      <c r="F47" s="54">
        <v>0</v>
      </c>
    </row>
    <row r="48" spans="1:6" x14ac:dyDescent="0.25">
      <c r="A48" s="19"/>
      <c r="B48" s="2" t="s">
        <v>49</v>
      </c>
      <c r="C48" s="11" t="s">
        <v>44</v>
      </c>
      <c r="D48" s="8" t="s">
        <v>5</v>
      </c>
      <c r="E48" s="47">
        <v>814.5</v>
      </c>
      <c r="F48" s="54">
        <f>179.798+448.6</f>
        <v>628.39800000000002</v>
      </c>
    </row>
    <row r="49" spans="1:6" ht="26.25" x14ac:dyDescent="0.25">
      <c r="A49" s="19"/>
      <c r="B49" s="2" t="s">
        <v>132</v>
      </c>
      <c r="C49" s="11" t="s">
        <v>62</v>
      </c>
      <c r="D49" s="8" t="s">
        <v>5</v>
      </c>
      <c r="E49" s="49">
        <v>400</v>
      </c>
      <c r="F49" s="54">
        <f t="shared" si="1"/>
        <v>400</v>
      </c>
    </row>
    <row r="50" spans="1:6" ht="29.25" customHeight="1" x14ac:dyDescent="0.25">
      <c r="A50" s="19"/>
      <c r="B50" s="3" t="s">
        <v>87</v>
      </c>
      <c r="C50" s="11" t="s">
        <v>86</v>
      </c>
      <c r="D50" s="8" t="s">
        <v>5</v>
      </c>
      <c r="E50" s="49">
        <v>0</v>
      </c>
      <c r="F50" s="54">
        <f t="shared" si="1"/>
        <v>0</v>
      </c>
    </row>
    <row r="51" spans="1:6" ht="30" x14ac:dyDescent="0.25">
      <c r="A51" s="19"/>
      <c r="B51" s="3" t="s">
        <v>124</v>
      </c>
      <c r="C51" s="11" t="s">
        <v>38</v>
      </c>
      <c r="D51" s="8" t="s">
        <v>5</v>
      </c>
      <c r="E51" s="49">
        <v>57</v>
      </c>
      <c r="F51" s="54">
        <f t="shared" si="1"/>
        <v>57</v>
      </c>
    </row>
    <row r="52" spans="1:6" ht="45" x14ac:dyDescent="0.25">
      <c r="A52" s="19"/>
      <c r="B52" s="3" t="s">
        <v>106</v>
      </c>
      <c r="C52" s="11" t="s">
        <v>38</v>
      </c>
      <c r="D52" s="8" t="s">
        <v>5</v>
      </c>
      <c r="E52" s="49">
        <v>30</v>
      </c>
      <c r="F52" s="54">
        <f t="shared" si="1"/>
        <v>30</v>
      </c>
    </row>
    <row r="53" spans="1:6" x14ac:dyDescent="0.25">
      <c r="A53" s="19"/>
      <c r="B53" s="3" t="s">
        <v>126</v>
      </c>
      <c r="C53" s="11" t="s">
        <v>38</v>
      </c>
      <c r="D53" s="8"/>
      <c r="E53" s="49">
        <v>25</v>
      </c>
      <c r="F53" s="54">
        <f t="shared" si="1"/>
        <v>25</v>
      </c>
    </row>
    <row r="54" spans="1:6" x14ac:dyDescent="0.25">
      <c r="A54" s="19"/>
      <c r="B54" s="3" t="s">
        <v>107</v>
      </c>
      <c r="C54" s="11" t="s">
        <v>90</v>
      </c>
      <c r="D54" s="8" t="s">
        <v>5</v>
      </c>
      <c r="E54" s="49">
        <v>150</v>
      </c>
      <c r="F54" s="54">
        <v>0</v>
      </c>
    </row>
    <row r="55" spans="1:6" ht="28.5" customHeight="1" x14ac:dyDescent="0.25">
      <c r="A55" s="19"/>
      <c r="B55" s="2" t="s">
        <v>129</v>
      </c>
      <c r="C55" s="11" t="s">
        <v>21</v>
      </c>
      <c r="D55" s="8" t="s">
        <v>5</v>
      </c>
      <c r="E55" s="49">
        <v>170</v>
      </c>
      <c r="F55" s="54">
        <f t="shared" si="1"/>
        <v>170</v>
      </c>
    </row>
    <row r="56" spans="1:6" ht="16.5" customHeight="1" x14ac:dyDescent="0.25">
      <c r="A56" s="19"/>
      <c r="B56" s="2" t="s">
        <v>130</v>
      </c>
      <c r="C56" s="11" t="s">
        <v>18</v>
      </c>
      <c r="D56" s="8" t="s">
        <v>5</v>
      </c>
      <c r="E56" s="49">
        <v>182.56</v>
      </c>
      <c r="F56" s="54">
        <f t="shared" si="1"/>
        <v>182.56</v>
      </c>
    </row>
    <row r="57" spans="1:6" s="30" customFormat="1" ht="43.5" x14ac:dyDescent="0.25">
      <c r="A57" s="21" t="s">
        <v>60</v>
      </c>
      <c r="B57" s="12" t="s">
        <v>68</v>
      </c>
      <c r="C57" s="11"/>
      <c r="D57" s="5" t="s">
        <v>2</v>
      </c>
      <c r="E57" s="51">
        <f>E58+E59+E60</f>
        <v>400</v>
      </c>
      <c r="F57" s="51">
        <f>F58+F59+F60</f>
        <v>400</v>
      </c>
    </row>
    <row r="58" spans="1:6" s="30" customFormat="1" x14ac:dyDescent="0.25">
      <c r="A58" s="19"/>
      <c r="B58" s="2"/>
      <c r="C58" s="11"/>
      <c r="D58" s="6" t="s">
        <v>3</v>
      </c>
      <c r="E58" s="56"/>
      <c r="F58" s="57"/>
    </row>
    <row r="59" spans="1:6" s="30" customFormat="1" x14ac:dyDescent="0.25">
      <c r="A59" s="19"/>
      <c r="B59" s="2"/>
      <c r="C59" s="11"/>
      <c r="D59" s="6" t="s">
        <v>4</v>
      </c>
      <c r="E59" s="56"/>
      <c r="F59" s="57"/>
    </row>
    <row r="60" spans="1:6" s="30" customFormat="1" x14ac:dyDescent="0.25">
      <c r="A60" s="19"/>
      <c r="B60" s="2"/>
      <c r="C60" s="11"/>
      <c r="D60" s="6" t="s">
        <v>5</v>
      </c>
      <c r="E60" s="56">
        <v>400</v>
      </c>
      <c r="F60" s="57">
        <f>F61</f>
        <v>400</v>
      </c>
    </row>
    <row r="61" spans="1:6" s="30" customFormat="1" x14ac:dyDescent="0.25">
      <c r="A61" s="19"/>
      <c r="B61" s="2" t="s">
        <v>139</v>
      </c>
      <c r="C61" s="11" t="s">
        <v>110</v>
      </c>
      <c r="D61" s="8"/>
      <c r="E61" s="49">
        <v>400</v>
      </c>
      <c r="F61" s="54">
        <v>400</v>
      </c>
    </row>
    <row r="62" spans="1:6" s="30" customFormat="1" x14ac:dyDescent="0.25">
      <c r="A62" s="19"/>
      <c r="B62" s="2"/>
      <c r="C62" s="11"/>
      <c r="D62" s="8"/>
      <c r="E62" s="49"/>
      <c r="F62" s="54"/>
    </row>
    <row r="63" spans="1:6" ht="57.75" x14ac:dyDescent="0.25">
      <c r="A63" s="20" t="s">
        <v>69</v>
      </c>
      <c r="B63" s="35" t="s">
        <v>78</v>
      </c>
      <c r="C63" s="10"/>
      <c r="D63" s="5" t="s">
        <v>2</v>
      </c>
      <c r="E63" s="51">
        <f>E64+E65+E66</f>
        <v>906.21199999999999</v>
      </c>
      <c r="F63" s="51">
        <f>F64+F65+F66</f>
        <v>906.21199999999999</v>
      </c>
    </row>
    <row r="64" spans="1:6" x14ac:dyDescent="0.25">
      <c r="A64" s="20"/>
      <c r="B64" s="40"/>
      <c r="C64" s="41"/>
      <c r="D64" s="6" t="s">
        <v>3</v>
      </c>
      <c r="E64" s="29"/>
      <c r="F64" s="29"/>
    </row>
    <row r="65" spans="1:7" x14ac:dyDescent="0.25">
      <c r="A65" s="20"/>
      <c r="B65" s="40"/>
      <c r="C65" s="41"/>
      <c r="D65" s="6" t="s">
        <v>4</v>
      </c>
      <c r="E65" s="29"/>
      <c r="F65" s="29"/>
    </row>
    <row r="66" spans="1:7" x14ac:dyDescent="0.25">
      <c r="A66" s="20"/>
      <c r="B66" s="40"/>
      <c r="C66" s="41"/>
      <c r="D66" s="6" t="s">
        <v>5</v>
      </c>
      <c r="E66" s="42">
        <f>E68+E69</f>
        <v>906.21199999999999</v>
      </c>
      <c r="F66" s="42">
        <f>F68+F69</f>
        <v>906.21199999999999</v>
      </c>
    </row>
    <row r="67" spans="1:7" x14ac:dyDescent="0.25">
      <c r="A67" s="19"/>
      <c r="B67" s="15" t="s">
        <v>19</v>
      </c>
      <c r="C67" s="11"/>
      <c r="D67" s="7"/>
      <c r="E67" s="28"/>
      <c r="F67" s="28"/>
    </row>
    <row r="68" spans="1:7" ht="21.75" customHeight="1" x14ac:dyDescent="0.25">
      <c r="A68" s="32"/>
      <c r="B68" s="1" t="s">
        <v>112</v>
      </c>
      <c r="C68" s="9" t="s">
        <v>35</v>
      </c>
      <c r="D68" s="8" t="s">
        <v>5</v>
      </c>
      <c r="E68" s="50">
        <v>846.21199999999999</v>
      </c>
      <c r="F68" s="50">
        <v>846.21199999999999</v>
      </c>
    </row>
    <row r="69" spans="1:7" x14ac:dyDescent="0.25">
      <c r="A69" s="58"/>
      <c r="B69" s="1" t="s">
        <v>111</v>
      </c>
      <c r="C69" s="9" t="s">
        <v>79</v>
      </c>
      <c r="D69" s="8" t="s">
        <v>5</v>
      </c>
      <c r="E69" s="59">
        <v>60</v>
      </c>
      <c r="F69" s="64">
        <v>60</v>
      </c>
      <c r="G69" t="s">
        <v>140</v>
      </c>
    </row>
    <row r="70" spans="1:7" x14ac:dyDescent="0.25">
      <c r="A70" s="60"/>
      <c r="B70" s="60" t="s">
        <v>136</v>
      </c>
      <c r="C70" s="60"/>
      <c r="D70" s="7" t="s">
        <v>3</v>
      </c>
      <c r="E70" s="61">
        <f>E3+E35+E64</f>
        <v>2573.0003000000002</v>
      </c>
      <c r="F70" s="61">
        <f>F3+F35+F64</f>
        <v>1929.75</v>
      </c>
      <c r="G70" s="33">
        <f>F70/E70*100</f>
        <v>74.999991255344966</v>
      </c>
    </row>
    <row r="71" spans="1:7" x14ac:dyDescent="0.25">
      <c r="A71" s="60"/>
      <c r="B71" s="60"/>
      <c r="C71" s="60"/>
      <c r="D71" s="7" t="s">
        <v>5</v>
      </c>
      <c r="E71" s="62">
        <f>E5+E37+E66+E60</f>
        <v>6827.7000000000007</v>
      </c>
      <c r="F71" s="62">
        <f>F5+F37+F66+F60</f>
        <v>5120.7700000000004</v>
      </c>
      <c r="G71" s="33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5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218" t="s">
        <v>551</v>
      </c>
      <c r="B2" s="1219"/>
      <c r="C2" s="1219"/>
      <c r="D2" s="1219"/>
      <c r="E2" s="1219"/>
      <c r="F2" s="1219"/>
      <c r="G2" s="1219"/>
    </row>
    <row r="3" spans="1:7" x14ac:dyDescent="0.25">
      <c r="A3" s="1219"/>
      <c r="B3" s="1219"/>
      <c r="C3" s="1219"/>
      <c r="D3" s="1219"/>
      <c r="E3" s="1219"/>
      <c r="F3" s="1219"/>
      <c r="G3" s="1219"/>
    </row>
    <row r="4" spans="1:7" x14ac:dyDescent="0.25">
      <c r="A4" s="609"/>
      <c r="B4" s="609"/>
      <c r="C4" s="609"/>
      <c r="D4" s="652" t="s">
        <v>550</v>
      </c>
      <c r="E4" s="608">
        <v>2016</v>
      </c>
      <c r="F4" s="382" t="s">
        <v>390</v>
      </c>
      <c r="G4" s="609"/>
    </row>
    <row r="5" spans="1:7" ht="15.75" thickBot="1" x14ac:dyDescent="0.3">
      <c r="A5" s="609"/>
      <c r="B5" s="609"/>
      <c r="C5" s="609"/>
      <c r="D5" s="609"/>
      <c r="E5" s="608"/>
      <c r="F5" s="382"/>
      <c r="G5" s="609"/>
    </row>
    <row r="6" spans="1:7" ht="20.45" customHeight="1" x14ac:dyDescent="0.25">
      <c r="A6" s="506" t="s">
        <v>446</v>
      </c>
      <c r="B6" s="1231" t="s">
        <v>453</v>
      </c>
      <c r="C6" s="1232"/>
      <c r="D6" s="1232"/>
      <c r="E6" s="1232"/>
      <c r="F6" s="1232"/>
      <c r="G6" s="1233"/>
    </row>
    <row r="7" spans="1:7" ht="15" customHeight="1" x14ac:dyDescent="0.25">
      <c r="A7" s="681" t="s">
        <v>6</v>
      </c>
      <c r="B7" s="675" t="s">
        <v>369</v>
      </c>
      <c r="C7" s="669" t="s">
        <v>518</v>
      </c>
      <c r="D7" s="669" t="s">
        <v>455</v>
      </c>
      <c r="E7" s="669" t="s">
        <v>458</v>
      </c>
      <c r="F7" s="670">
        <v>1927250</v>
      </c>
      <c r="G7" s="646"/>
    </row>
    <row r="8" spans="1:7" ht="15" customHeight="1" x14ac:dyDescent="0.25">
      <c r="A8" s="681"/>
      <c r="B8" s="675" t="s">
        <v>369</v>
      </c>
      <c r="C8" s="669" t="s">
        <v>518</v>
      </c>
      <c r="D8" s="669" t="s">
        <v>455</v>
      </c>
      <c r="E8" s="669" t="s">
        <v>543</v>
      </c>
      <c r="F8" s="670">
        <v>-31800</v>
      </c>
      <c r="G8" s="646"/>
    </row>
    <row r="9" spans="1:7" ht="15" customHeight="1" x14ac:dyDescent="0.25">
      <c r="A9" s="681"/>
      <c r="B9" s="675" t="s">
        <v>369</v>
      </c>
      <c r="C9" s="669" t="s">
        <v>518</v>
      </c>
      <c r="D9" s="669" t="s">
        <v>455</v>
      </c>
      <c r="E9" s="669" t="s">
        <v>491</v>
      </c>
      <c r="F9" s="670">
        <v>-22340.5</v>
      </c>
      <c r="G9" s="646"/>
    </row>
    <row r="10" spans="1:7" ht="15" customHeight="1" x14ac:dyDescent="0.25">
      <c r="A10" s="681"/>
      <c r="B10" s="675" t="s">
        <v>369</v>
      </c>
      <c r="C10" s="669" t="s">
        <v>518</v>
      </c>
      <c r="D10" s="669" t="s">
        <v>455</v>
      </c>
      <c r="E10" s="669" t="s">
        <v>492</v>
      </c>
      <c r="F10" s="670">
        <v>-96273.8</v>
      </c>
      <c r="G10" s="646"/>
    </row>
    <row r="11" spans="1:7" ht="15" customHeight="1" x14ac:dyDescent="0.25">
      <c r="A11" s="681"/>
      <c r="B11" s="675" t="s">
        <v>369</v>
      </c>
      <c r="C11" s="669" t="s">
        <v>518</v>
      </c>
      <c r="D11" s="669" t="s">
        <v>455</v>
      </c>
      <c r="E11" s="669" t="s">
        <v>544</v>
      </c>
      <c r="F11" s="670">
        <v>-632.70000000000005</v>
      </c>
      <c r="G11" s="646"/>
    </row>
    <row r="12" spans="1:7" ht="15" customHeight="1" x14ac:dyDescent="0.25">
      <c r="A12" s="681"/>
      <c r="B12" s="675" t="s">
        <v>369</v>
      </c>
      <c r="C12" s="669" t="s">
        <v>518</v>
      </c>
      <c r="D12" s="669" t="s">
        <v>455</v>
      </c>
      <c r="E12" s="669" t="s">
        <v>459</v>
      </c>
      <c r="F12" s="670">
        <v>-71606</v>
      </c>
      <c r="G12" s="646"/>
    </row>
    <row r="13" spans="1:7" ht="15" customHeight="1" x14ac:dyDescent="0.25">
      <c r="A13" s="681"/>
      <c r="B13" s="675" t="s">
        <v>369</v>
      </c>
      <c r="C13" s="669" t="s">
        <v>518</v>
      </c>
      <c r="D13" s="669" t="s">
        <v>455</v>
      </c>
      <c r="E13" s="669" t="s">
        <v>545</v>
      </c>
      <c r="F13" s="670">
        <v>3899.2</v>
      </c>
      <c r="G13" s="646"/>
    </row>
    <row r="14" spans="1:7" ht="15" customHeight="1" x14ac:dyDescent="0.25">
      <c r="A14" s="681"/>
      <c r="B14" s="675" t="s">
        <v>369</v>
      </c>
      <c r="C14" s="669" t="s">
        <v>518</v>
      </c>
      <c r="D14" s="669" t="s">
        <v>455</v>
      </c>
      <c r="E14" s="669" t="s">
        <v>546</v>
      </c>
      <c r="F14" s="670">
        <v>20000</v>
      </c>
      <c r="G14" s="646"/>
    </row>
    <row r="15" spans="1:7" ht="15" customHeight="1" x14ac:dyDescent="0.25">
      <c r="A15" s="681"/>
      <c r="B15" s="675" t="s">
        <v>369</v>
      </c>
      <c r="C15" s="669" t="s">
        <v>518</v>
      </c>
      <c r="D15" s="669" t="s">
        <v>455</v>
      </c>
      <c r="E15" s="669" t="s">
        <v>521</v>
      </c>
      <c r="F15" s="670">
        <v>125142</v>
      </c>
      <c r="G15" s="646"/>
    </row>
    <row r="16" spans="1:7" ht="15" customHeight="1" x14ac:dyDescent="0.25">
      <c r="A16" s="681"/>
      <c r="B16" s="675" t="s">
        <v>369</v>
      </c>
      <c r="C16" s="669" t="s">
        <v>518</v>
      </c>
      <c r="D16" s="669" t="s">
        <v>455</v>
      </c>
      <c r="E16" s="669" t="s">
        <v>547</v>
      </c>
      <c r="F16" s="670">
        <v>18400</v>
      </c>
      <c r="G16" s="646"/>
    </row>
    <row r="17" spans="1:7" ht="15" customHeight="1" x14ac:dyDescent="0.25">
      <c r="A17" s="681"/>
      <c r="B17" s="675" t="s">
        <v>369</v>
      </c>
      <c r="C17" s="669" t="s">
        <v>518</v>
      </c>
      <c r="D17" s="669" t="s">
        <v>455</v>
      </c>
      <c r="E17" s="669" t="s">
        <v>548</v>
      </c>
      <c r="F17" s="670">
        <v>-36379.4</v>
      </c>
      <c r="G17" s="646"/>
    </row>
    <row r="18" spans="1:7" ht="15" customHeight="1" x14ac:dyDescent="0.25">
      <c r="A18" s="681"/>
      <c r="B18" s="675" t="s">
        <v>369</v>
      </c>
      <c r="C18" s="669" t="s">
        <v>518</v>
      </c>
      <c r="D18" s="669" t="s">
        <v>455</v>
      </c>
      <c r="E18" s="669" t="s">
        <v>549</v>
      </c>
      <c r="F18" s="670">
        <v>-6428.7</v>
      </c>
      <c r="G18" s="646"/>
    </row>
    <row r="19" spans="1:7" ht="15" customHeight="1" x14ac:dyDescent="0.25">
      <c r="A19" s="681"/>
      <c r="B19" s="675" t="s">
        <v>369</v>
      </c>
      <c r="C19" s="669" t="s">
        <v>518</v>
      </c>
      <c r="D19" s="669" t="s">
        <v>455</v>
      </c>
      <c r="E19" s="669" t="s">
        <v>475</v>
      </c>
      <c r="F19" s="670">
        <v>-13455.3</v>
      </c>
      <c r="G19" s="646"/>
    </row>
    <row r="20" spans="1:7" ht="15" customHeight="1" x14ac:dyDescent="0.25">
      <c r="A20" s="681"/>
      <c r="B20" s="675" t="s">
        <v>369</v>
      </c>
      <c r="C20" s="669" t="s">
        <v>518</v>
      </c>
      <c r="D20" s="669" t="s">
        <v>455</v>
      </c>
      <c r="E20" s="669" t="s">
        <v>368</v>
      </c>
      <c r="F20" s="670">
        <v>88525.2</v>
      </c>
      <c r="G20" s="646"/>
    </row>
    <row r="21" spans="1:7" ht="19.149999999999999" customHeight="1" x14ac:dyDescent="0.25">
      <c r="A21" s="681"/>
      <c r="B21" s="676" t="s">
        <v>369</v>
      </c>
      <c r="C21" s="668" t="s">
        <v>518</v>
      </c>
      <c r="D21" s="668" t="s">
        <v>455</v>
      </c>
      <c r="E21" s="497"/>
      <c r="F21" s="673">
        <f>SUM(F7:F20)</f>
        <v>1904300</v>
      </c>
      <c r="G21" s="646"/>
    </row>
    <row r="22" spans="1:7" ht="19.149999999999999" customHeight="1" x14ac:dyDescent="0.25">
      <c r="A22" s="681"/>
      <c r="B22" s="675" t="s">
        <v>369</v>
      </c>
      <c r="C22" s="669" t="s">
        <v>518</v>
      </c>
      <c r="D22" s="669" t="s">
        <v>456</v>
      </c>
      <c r="E22" s="669" t="s">
        <v>458</v>
      </c>
      <c r="F22" s="670">
        <v>1464854</v>
      </c>
      <c r="G22" s="646"/>
    </row>
    <row r="23" spans="1:7" ht="19.149999999999999" customHeight="1" x14ac:dyDescent="0.25">
      <c r="A23" s="681"/>
      <c r="B23" s="675" t="s">
        <v>369</v>
      </c>
      <c r="C23" s="669" t="s">
        <v>518</v>
      </c>
      <c r="D23" s="669" t="s">
        <v>456</v>
      </c>
      <c r="E23" s="669" t="s">
        <v>543</v>
      </c>
      <c r="F23" s="670">
        <v>-11600</v>
      </c>
      <c r="G23" s="646"/>
    </row>
    <row r="24" spans="1:7" ht="19.149999999999999" customHeight="1" x14ac:dyDescent="0.25">
      <c r="A24" s="681"/>
      <c r="B24" s="675" t="s">
        <v>369</v>
      </c>
      <c r="C24" s="669" t="s">
        <v>518</v>
      </c>
      <c r="D24" s="669" t="s">
        <v>456</v>
      </c>
      <c r="E24" s="669" t="s">
        <v>491</v>
      </c>
      <c r="F24" s="670">
        <v>-6047</v>
      </c>
      <c r="G24" s="646"/>
    </row>
    <row r="25" spans="1:7" ht="19.149999999999999" customHeight="1" x14ac:dyDescent="0.25">
      <c r="A25" s="681"/>
      <c r="B25" s="675" t="s">
        <v>369</v>
      </c>
      <c r="C25" s="669" t="s">
        <v>518</v>
      </c>
      <c r="D25" s="669" t="s">
        <v>456</v>
      </c>
      <c r="E25" s="669" t="s">
        <v>492</v>
      </c>
      <c r="F25" s="670">
        <v>-66838</v>
      </c>
      <c r="G25" s="646"/>
    </row>
    <row r="26" spans="1:7" ht="19.149999999999999" customHeight="1" x14ac:dyDescent="0.25">
      <c r="A26" s="681"/>
      <c r="B26" s="675" t="s">
        <v>369</v>
      </c>
      <c r="C26" s="669" t="s">
        <v>518</v>
      </c>
      <c r="D26" s="669" t="s">
        <v>456</v>
      </c>
      <c r="E26" s="669" t="s">
        <v>544</v>
      </c>
      <c r="F26" s="670">
        <v>-10920.6</v>
      </c>
      <c r="G26" s="646"/>
    </row>
    <row r="27" spans="1:7" ht="19.149999999999999" customHeight="1" x14ac:dyDescent="0.25">
      <c r="A27" s="681"/>
      <c r="B27" s="675" t="s">
        <v>369</v>
      </c>
      <c r="C27" s="669" t="s">
        <v>518</v>
      </c>
      <c r="D27" s="669" t="s">
        <v>456</v>
      </c>
      <c r="E27" s="669" t="s">
        <v>459</v>
      </c>
      <c r="F27" s="670">
        <v>185510</v>
      </c>
      <c r="G27" s="646"/>
    </row>
    <row r="28" spans="1:7" ht="19.149999999999999" customHeight="1" x14ac:dyDescent="0.25">
      <c r="A28" s="681"/>
      <c r="B28" s="675" t="s">
        <v>369</v>
      </c>
      <c r="C28" s="669" t="s">
        <v>518</v>
      </c>
      <c r="D28" s="669" t="s">
        <v>456</v>
      </c>
      <c r="E28" s="669" t="s">
        <v>521</v>
      </c>
      <c r="F28" s="670">
        <v>-61036.2</v>
      </c>
      <c r="G28" s="646"/>
    </row>
    <row r="29" spans="1:7" ht="19.149999999999999" customHeight="1" x14ac:dyDescent="0.25">
      <c r="A29" s="681"/>
      <c r="B29" s="675" t="s">
        <v>369</v>
      </c>
      <c r="C29" s="669" t="s">
        <v>518</v>
      </c>
      <c r="D29" s="669" t="s">
        <v>456</v>
      </c>
      <c r="E29" s="669" t="s">
        <v>547</v>
      </c>
      <c r="F29" s="670">
        <v>10000</v>
      </c>
      <c r="G29" s="646"/>
    </row>
    <row r="30" spans="1:7" ht="19.149999999999999" customHeight="1" x14ac:dyDescent="0.25">
      <c r="A30" s="681"/>
      <c r="B30" s="675" t="s">
        <v>369</v>
      </c>
      <c r="C30" s="669" t="s">
        <v>518</v>
      </c>
      <c r="D30" s="669" t="s">
        <v>456</v>
      </c>
      <c r="E30" s="669" t="s">
        <v>549</v>
      </c>
      <c r="F30" s="670">
        <v>176437</v>
      </c>
      <c r="G30" s="646"/>
    </row>
    <row r="31" spans="1:7" ht="19.149999999999999" customHeight="1" x14ac:dyDescent="0.25">
      <c r="A31" s="681"/>
      <c r="B31" s="677" t="s">
        <v>369</v>
      </c>
      <c r="C31" s="671" t="s">
        <v>518</v>
      </c>
      <c r="D31" s="671" t="s">
        <v>456</v>
      </c>
      <c r="E31" s="671" t="s">
        <v>475</v>
      </c>
      <c r="F31" s="672">
        <v>25718.3</v>
      </c>
      <c r="G31" s="646"/>
    </row>
    <row r="32" spans="1:7" ht="19.149999999999999" customHeight="1" x14ac:dyDescent="0.25">
      <c r="A32" s="681"/>
      <c r="B32" s="677" t="s">
        <v>369</v>
      </c>
      <c r="C32" s="671" t="s">
        <v>518</v>
      </c>
      <c r="D32" s="671" t="s">
        <v>456</v>
      </c>
      <c r="E32" s="671" t="s">
        <v>368</v>
      </c>
      <c r="F32" s="672">
        <v>38722.5</v>
      </c>
      <c r="G32" s="646"/>
    </row>
    <row r="33" spans="1:8" ht="19.149999999999999" customHeight="1" x14ac:dyDescent="0.25">
      <c r="A33" s="681"/>
      <c r="B33" s="678" t="s">
        <v>369</v>
      </c>
      <c r="C33" s="667" t="s">
        <v>518</v>
      </c>
      <c r="D33" s="667" t="s">
        <v>456</v>
      </c>
      <c r="E33" s="664"/>
      <c r="F33" s="665">
        <f>SUM(F22:F32)</f>
        <v>1744800</v>
      </c>
      <c r="G33" s="646"/>
    </row>
    <row r="34" spans="1:8" ht="20.45" customHeight="1" x14ac:dyDescent="0.25">
      <c r="A34" s="680" t="s">
        <v>488</v>
      </c>
      <c r="B34" s="667" t="s">
        <v>369</v>
      </c>
      <c r="C34" s="667" t="s">
        <v>518</v>
      </c>
      <c r="D34" s="497"/>
      <c r="E34" s="497"/>
      <c r="F34" s="666">
        <f>F21+F33</f>
        <v>3649100</v>
      </c>
      <c r="G34" s="646"/>
    </row>
    <row r="35" spans="1:8" ht="20.45" customHeight="1" x14ac:dyDescent="0.25">
      <c r="A35" s="508" t="s">
        <v>8</v>
      </c>
      <c r="B35" s="671" t="s">
        <v>366</v>
      </c>
      <c r="C35" s="671" t="s">
        <v>519</v>
      </c>
      <c r="D35" s="671" t="s">
        <v>455</v>
      </c>
      <c r="E35" s="671" t="s">
        <v>459</v>
      </c>
      <c r="F35" s="672">
        <v>-1179300</v>
      </c>
      <c r="G35" s="646"/>
    </row>
    <row r="36" spans="1:8" ht="20.45" customHeight="1" x14ac:dyDescent="0.25">
      <c r="A36" s="67"/>
      <c r="B36" s="671" t="s">
        <v>366</v>
      </c>
      <c r="C36" s="671" t="s">
        <v>519</v>
      </c>
      <c r="D36" s="671" t="s">
        <v>455</v>
      </c>
      <c r="E36" s="671" t="s">
        <v>475</v>
      </c>
      <c r="F36" s="672">
        <v>-2417</v>
      </c>
      <c r="G36" s="647"/>
    </row>
    <row r="37" spans="1:8" ht="20.45" customHeight="1" x14ac:dyDescent="0.25">
      <c r="A37" s="67"/>
      <c r="B37" s="671" t="s">
        <v>366</v>
      </c>
      <c r="C37" s="671" t="s">
        <v>519</v>
      </c>
      <c r="D37" s="671" t="s">
        <v>455</v>
      </c>
      <c r="E37" s="671" t="s">
        <v>368</v>
      </c>
      <c r="F37" s="672">
        <v>-2283</v>
      </c>
      <c r="G37" s="647"/>
    </row>
    <row r="38" spans="1:8" ht="20.45" customHeight="1" x14ac:dyDescent="0.25">
      <c r="A38" s="67" t="s">
        <v>489</v>
      </c>
      <c r="B38" s="674" t="s">
        <v>366</v>
      </c>
      <c r="C38" s="674" t="s">
        <v>519</v>
      </c>
      <c r="D38" s="674" t="s">
        <v>455</v>
      </c>
      <c r="E38" s="636"/>
      <c r="F38" s="639">
        <f>F35+F36+F37</f>
        <v>-1184000</v>
      </c>
      <c r="G38" s="647"/>
    </row>
    <row r="39" spans="1:8" ht="18" customHeight="1" x14ac:dyDescent="0.25">
      <c r="A39" s="635" t="s">
        <v>210</v>
      </c>
      <c r="B39" s="648" t="s">
        <v>513</v>
      </c>
      <c r="C39" s="636" t="s">
        <v>514</v>
      </c>
      <c r="D39" s="636" t="s">
        <v>515</v>
      </c>
      <c r="E39" s="636" t="s">
        <v>516</v>
      </c>
      <c r="F39" s="637">
        <v>-327920.37</v>
      </c>
      <c r="G39" s="649" t="s">
        <v>388</v>
      </c>
    </row>
    <row r="40" spans="1:8" ht="18" customHeight="1" x14ac:dyDescent="0.25">
      <c r="A40" s="507" t="s">
        <v>209</v>
      </c>
      <c r="B40" s="345" t="s">
        <v>509</v>
      </c>
      <c r="C40" s="494" t="s">
        <v>510</v>
      </c>
      <c r="D40" s="345" t="s">
        <v>511</v>
      </c>
      <c r="E40" s="345" t="s">
        <v>512</v>
      </c>
      <c r="F40" s="537">
        <v>-2111000</v>
      </c>
      <c r="G40" s="380" t="s">
        <v>388</v>
      </c>
    </row>
    <row r="41" spans="1:8" ht="18" customHeight="1" x14ac:dyDescent="0.25">
      <c r="A41" s="507" t="s">
        <v>211</v>
      </c>
      <c r="B41" s="345" t="s">
        <v>509</v>
      </c>
      <c r="C41" s="494" t="s">
        <v>517</v>
      </c>
      <c r="D41" s="345" t="s">
        <v>511</v>
      </c>
      <c r="E41" s="345" t="s">
        <v>512</v>
      </c>
      <c r="F41" s="496">
        <v>18300</v>
      </c>
      <c r="G41" s="380" t="s">
        <v>388</v>
      </c>
    </row>
    <row r="42" spans="1:8" ht="14.45" customHeight="1" x14ac:dyDescent="0.25">
      <c r="A42" s="570"/>
      <c r="B42" s="571"/>
      <c r="C42" s="572"/>
      <c r="D42" s="571"/>
      <c r="E42" s="575"/>
      <c r="F42" s="576"/>
      <c r="G42" s="601"/>
    </row>
    <row r="43" spans="1:8" x14ac:dyDescent="0.25">
      <c r="A43" s="578" t="s">
        <v>471</v>
      </c>
      <c r="B43" s="579"/>
      <c r="C43" s="580"/>
      <c r="D43" s="581"/>
      <c r="E43" s="581"/>
      <c r="F43" s="527">
        <f>F41+F40+F39+F38+F34</f>
        <v>44479.629999999888</v>
      </c>
      <c r="G43" s="582"/>
      <c r="H43" s="344"/>
    </row>
    <row r="44" spans="1:8" x14ac:dyDescent="0.25">
      <c r="A44" s="508" t="s">
        <v>460</v>
      </c>
      <c r="B44" s="1223" t="s">
        <v>461</v>
      </c>
      <c r="C44" s="1224"/>
      <c r="D44" s="1224"/>
      <c r="E44" s="1224"/>
      <c r="F44" s="1224"/>
      <c r="G44" s="1225"/>
      <c r="H44" s="344"/>
    </row>
    <row r="45" spans="1:8" x14ac:dyDescent="0.25">
      <c r="A45" s="679" t="s">
        <v>192</v>
      </c>
      <c r="B45" s="345" t="s">
        <v>366</v>
      </c>
      <c r="C45" s="641" t="s">
        <v>520</v>
      </c>
      <c r="D45" s="641" t="s">
        <v>367</v>
      </c>
      <c r="E45" s="641" t="s">
        <v>521</v>
      </c>
      <c r="F45" s="525">
        <v>-10556.25</v>
      </c>
      <c r="G45" s="510" t="s">
        <v>313</v>
      </c>
      <c r="H45" s="344"/>
    </row>
    <row r="46" spans="1:8" x14ac:dyDescent="0.25">
      <c r="A46" s="682"/>
      <c r="B46" s="683" t="s">
        <v>366</v>
      </c>
      <c r="C46" s="641" t="s">
        <v>520</v>
      </c>
      <c r="D46" s="641" t="s">
        <v>367</v>
      </c>
      <c r="E46" s="641" t="s">
        <v>522</v>
      </c>
      <c r="F46" s="525">
        <v>144731.29</v>
      </c>
      <c r="G46" s="510" t="s">
        <v>25</v>
      </c>
      <c r="H46" s="344"/>
    </row>
    <row r="47" spans="1:8" x14ac:dyDescent="0.25">
      <c r="A47" s="682"/>
      <c r="B47" s="684" t="s">
        <v>366</v>
      </c>
      <c r="C47" s="643" t="s">
        <v>520</v>
      </c>
      <c r="D47" s="643" t="s">
        <v>367</v>
      </c>
      <c r="E47" s="641"/>
      <c r="F47" s="644">
        <f>F45+F46</f>
        <v>134175.04000000001</v>
      </c>
      <c r="G47" s="510"/>
      <c r="H47" s="344"/>
    </row>
    <row r="48" spans="1:8" x14ac:dyDescent="0.25">
      <c r="A48" s="682"/>
      <c r="B48" s="683" t="s">
        <v>369</v>
      </c>
      <c r="C48" s="641" t="s">
        <v>520</v>
      </c>
      <c r="D48" s="641" t="s">
        <v>367</v>
      </c>
      <c r="E48" s="641" t="s">
        <v>523</v>
      </c>
      <c r="F48" s="525">
        <v>-142057.28</v>
      </c>
      <c r="G48" s="1216" t="s">
        <v>291</v>
      </c>
      <c r="H48" s="344"/>
    </row>
    <row r="49" spans="1:8" x14ac:dyDescent="0.25">
      <c r="A49" s="682"/>
      <c r="B49" s="683" t="s">
        <v>369</v>
      </c>
      <c r="C49" s="641" t="s">
        <v>520</v>
      </c>
      <c r="D49" s="641" t="s">
        <v>367</v>
      </c>
      <c r="E49" s="641" t="s">
        <v>524</v>
      </c>
      <c r="F49" s="525">
        <v>-44605.760000000002</v>
      </c>
      <c r="G49" s="1217"/>
      <c r="H49" s="344"/>
    </row>
    <row r="50" spans="1:8" x14ac:dyDescent="0.25">
      <c r="A50" s="682"/>
      <c r="B50" s="684" t="s">
        <v>369</v>
      </c>
      <c r="C50" s="643" t="s">
        <v>520</v>
      </c>
      <c r="D50" s="643" t="s">
        <v>367</v>
      </c>
      <c r="E50" s="641"/>
      <c r="F50" s="499">
        <f>F48+F49</f>
        <v>-186663.04000000001</v>
      </c>
      <c r="G50" s="610"/>
      <c r="H50" s="344"/>
    </row>
    <row r="51" spans="1:8" x14ac:dyDescent="0.25">
      <c r="A51" s="682"/>
      <c r="B51" s="683" t="s">
        <v>369</v>
      </c>
      <c r="C51" s="641" t="s">
        <v>520</v>
      </c>
      <c r="D51" s="641" t="s">
        <v>370</v>
      </c>
      <c r="E51" s="641" t="s">
        <v>522</v>
      </c>
      <c r="F51" s="525">
        <v>465000</v>
      </c>
      <c r="G51" s="651" t="s">
        <v>95</v>
      </c>
      <c r="H51" s="344"/>
    </row>
    <row r="52" spans="1:8" x14ac:dyDescent="0.25">
      <c r="A52" s="682"/>
      <c r="B52" s="684" t="s">
        <v>369</v>
      </c>
      <c r="C52" s="643" t="s">
        <v>520</v>
      </c>
      <c r="D52" s="643" t="s">
        <v>370</v>
      </c>
      <c r="E52" s="641"/>
      <c r="F52" s="499">
        <f>F51</f>
        <v>465000</v>
      </c>
      <c r="G52" s="610"/>
      <c r="H52" s="344"/>
    </row>
    <row r="53" spans="1:8" x14ac:dyDescent="0.25">
      <c r="A53" s="682"/>
      <c r="B53" s="684" t="s">
        <v>369</v>
      </c>
      <c r="C53" s="643" t="s">
        <v>520</v>
      </c>
      <c r="D53" s="643"/>
      <c r="E53" s="641"/>
      <c r="F53" s="644">
        <f>F52+F50</f>
        <v>278336.95999999996</v>
      </c>
      <c r="G53" s="610"/>
      <c r="H53" s="344"/>
    </row>
    <row r="54" spans="1:8" x14ac:dyDescent="0.25">
      <c r="A54" s="686" t="s">
        <v>531</v>
      </c>
      <c r="B54" s="387"/>
      <c r="C54" s="643"/>
      <c r="D54" s="643"/>
      <c r="E54" s="641"/>
      <c r="F54" s="644">
        <f>F53+F47</f>
        <v>412512</v>
      </c>
      <c r="G54" s="610"/>
      <c r="H54" s="344"/>
    </row>
    <row r="55" spans="1:8" x14ac:dyDescent="0.25">
      <c r="A55" s="681" t="s">
        <v>169</v>
      </c>
      <c r="B55" s="683" t="s">
        <v>369</v>
      </c>
      <c r="C55" s="641" t="s">
        <v>525</v>
      </c>
      <c r="D55" s="641" t="s">
        <v>455</v>
      </c>
      <c r="E55" s="641" t="s">
        <v>526</v>
      </c>
      <c r="F55" s="525">
        <v>428300</v>
      </c>
      <c r="G55" s="610"/>
      <c r="H55" s="344"/>
    </row>
    <row r="56" spans="1:8" x14ac:dyDescent="0.25">
      <c r="A56" s="685"/>
      <c r="B56" s="683" t="s">
        <v>369</v>
      </c>
      <c r="C56" s="641" t="s">
        <v>525</v>
      </c>
      <c r="D56" s="641" t="s">
        <v>456</v>
      </c>
      <c r="E56" s="641" t="s">
        <v>526</v>
      </c>
      <c r="F56" s="525">
        <v>-414600</v>
      </c>
      <c r="G56" s="610"/>
      <c r="H56" s="344"/>
    </row>
    <row r="57" spans="1:8" x14ac:dyDescent="0.25">
      <c r="A57" s="682"/>
      <c r="B57" s="684" t="s">
        <v>369</v>
      </c>
      <c r="C57" s="643" t="s">
        <v>525</v>
      </c>
      <c r="D57" s="641"/>
      <c r="E57" s="641"/>
      <c r="F57" s="644">
        <f>F55+F56</f>
        <v>13700</v>
      </c>
      <c r="G57" s="610"/>
      <c r="H57" s="344"/>
    </row>
    <row r="58" spans="1:8" x14ac:dyDescent="0.25">
      <c r="A58" s="680" t="s">
        <v>252</v>
      </c>
      <c r="B58" s="345" t="s">
        <v>369</v>
      </c>
      <c r="C58" s="641" t="s">
        <v>527</v>
      </c>
      <c r="D58" s="641" t="s">
        <v>455</v>
      </c>
      <c r="E58" s="641" t="s">
        <v>526</v>
      </c>
      <c r="F58" s="525">
        <v>6000</v>
      </c>
      <c r="G58" s="610"/>
      <c r="H58" s="344"/>
    </row>
    <row r="59" spans="1:8" x14ac:dyDescent="0.25">
      <c r="A59" s="640"/>
      <c r="B59" s="387" t="s">
        <v>369</v>
      </c>
      <c r="C59" s="643" t="s">
        <v>527</v>
      </c>
      <c r="D59" s="641"/>
      <c r="E59" s="641"/>
      <c r="F59" s="644">
        <v>6000</v>
      </c>
      <c r="G59" s="610"/>
      <c r="H59" s="344"/>
    </row>
    <row r="60" spans="1:8" x14ac:dyDescent="0.25">
      <c r="A60" s="640"/>
      <c r="B60" s="345"/>
      <c r="C60" s="497"/>
      <c r="D60" s="497"/>
      <c r="E60" s="497"/>
      <c r="F60" s="638"/>
      <c r="G60" s="380"/>
      <c r="H60" s="344"/>
    </row>
    <row r="61" spans="1:8" x14ac:dyDescent="0.25">
      <c r="A61" s="578" t="s">
        <v>469</v>
      </c>
      <c r="B61" s="583"/>
      <c r="C61" s="584"/>
      <c r="D61" s="584"/>
      <c r="E61" s="584"/>
      <c r="F61" s="527">
        <f>F47+F50+F51+F57+F59</f>
        <v>432212</v>
      </c>
      <c r="G61" s="585"/>
      <c r="H61" s="344"/>
    </row>
    <row r="62" spans="1:8" ht="25.9" customHeight="1" x14ac:dyDescent="0.25">
      <c r="A62" s="508" t="s">
        <v>528</v>
      </c>
      <c r="B62" s="1226" t="s">
        <v>462</v>
      </c>
      <c r="C62" s="1227"/>
      <c r="D62" s="1227"/>
      <c r="E62" s="1227"/>
      <c r="F62" s="1227"/>
      <c r="G62" s="1228"/>
      <c r="H62" s="344"/>
    </row>
    <row r="63" spans="1:8" ht="18" customHeight="1" x14ac:dyDescent="0.25">
      <c r="A63" s="508" t="s">
        <v>188</v>
      </c>
      <c r="B63" s="659" t="s">
        <v>509</v>
      </c>
      <c r="C63" s="660" t="s">
        <v>529</v>
      </c>
      <c r="D63" s="661">
        <v>313</v>
      </c>
      <c r="E63" s="661">
        <v>26200</v>
      </c>
      <c r="F63" s="662">
        <v>-2387600</v>
      </c>
      <c r="G63" s="564" t="s">
        <v>388</v>
      </c>
      <c r="H63" s="344"/>
    </row>
    <row r="64" spans="1:8" ht="14.45" customHeight="1" x14ac:dyDescent="0.25">
      <c r="A64" s="508" t="s">
        <v>193</v>
      </c>
      <c r="B64" s="466" t="s">
        <v>509</v>
      </c>
      <c r="C64" s="543" t="s">
        <v>530</v>
      </c>
      <c r="D64" s="544">
        <v>323</v>
      </c>
      <c r="E64" s="544">
        <v>22699</v>
      </c>
      <c r="F64" s="545">
        <v>200</v>
      </c>
      <c r="G64" s="565" t="s">
        <v>388</v>
      </c>
      <c r="H64" s="344"/>
    </row>
    <row r="65" spans="1:8" x14ac:dyDescent="0.25">
      <c r="A65" s="578" t="s">
        <v>470</v>
      </c>
      <c r="B65" s="586"/>
      <c r="C65" s="586"/>
      <c r="D65" s="586"/>
      <c r="E65" s="586"/>
      <c r="F65" s="527">
        <f>F63+F64</f>
        <v>-2387400</v>
      </c>
      <c r="G65" s="587"/>
      <c r="H65" s="344"/>
    </row>
    <row r="66" spans="1:8" ht="15.75" thickBot="1" x14ac:dyDescent="0.3">
      <c r="A66" s="515"/>
      <c r="B66" s="503"/>
      <c r="C66" s="504" t="s">
        <v>148</v>
      </c>
      <c r="D66" s="503"/>
      <c r="E66" s="504"/>
      <c r="F66" s="505">
        <f>F65+F61+F43</f>
        <v>-1910708.37</v>
      </c>
      <c r="G66" s="556"/>
      <c r="H66" s="344"/>
    </row>
    <row r="67" spans="1:8" x14ac:dyDescent="0.25">
      <c r="B67" s="344"/>
      <c r="C67" s="344"/>
      <c r="D67" s="344"/>
      <c r="E67" s="344"/>
      <c r="F67" s="344"/>
      <c r="G67" s="344"/>
    </row>
    <row r="68" spans="1:8" x14ac:dyDescent="0.25">
      <c r="A68" s="344" t="s">
        <v>389</v>
      </c>
      <c r="B68" s="344"/>
      <c r="C68" s="344"/>
      <c r="D68" s="344"/>
      <c r="E68" s="344"/>
      <c r="F68" s="344"/>
      <c r="G68" s="344"/>
    </row>
    <row r="69" spans="1:8" x14ac:dyDescent="0.25">
      <c r="A69" s="344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P1" workbookViewId="0">
      <selection activeCell="F20" sqref="F20"/>
    </sheetView>
  </sheetViews>
  <sheetFormatPr defaultColWidth="8.85546875" defaultRowHeight="15" x14ac:dyDescent="0.25"/>
  <cols>
    <col min="1" max="1" width="6.42578125" style="352" customWidth="1"/>
    <col min="2" max="2" width="33.5703125" style="30" customWidth="1"/>
    <col min="3" max="3" width="11" style="30" customWidth="1"/>
    <col min="4" max="4" width="1.5703125" style="30" hidden="1" customWidth="1"/>
    <col min="5" max="5" width="9" style="30" customWidth="1"/>
    <col min="6" max="6" width="4.7109375" style="30" customWidth="1"/>
    <col min="7" max="7" width="9.140625" style="30" customWidth="1"/>
    <col min="8" max="8" width="11.85546875" style="30" customWidth="1"/>
    <col min="9" max="9" width="6" style="30" customWidth="1"/>
    <col min="10" max="10" width="4.42578125" style="30" customWidth="1"/>
    <col min="11" max="11" width="5.7109375" style="30" customWidth="1"/>
    <col min="12" max="12" width="4.85546875" style="30" customWidth="1"/>
    <col min="13" max="13" width="6.7109375" style="30" customWidth="1"/>
    <col min="14" max="14" width="3.42578125" style="30" customWidth="1"/>
    <col min="15" max="15" width="5.710937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7.85546875" style="30" customWidth="1"/>
    <col min="22" max="22" width="4.28515625" style="30" customWidth="1"/>
    <col min="23" max="23" width="7.42578125" style="30" customWidth="1"/>
    <col min="24" max="24" width="6.28515625" style="30" customWidth="1"/>
    <col min="25" max="25" width="8.85546875" style="30" customWidth="1"/>
    <col min="26" max="26" width="3.7109375" style="30" customWidth="1"/>
    <col min="27" max="27" width="4.5703125" style="30" customWidth="1"/>
    <col min="28" max="28" width="10.140625" style="30" customWidth="1"/>
    <col min="29" max="29" width="9" style="30" customWidth="1"/>
    <col min="30" max="30" width="5.28515625" style="30" customWidth="1"/>
    <col min="31" max="31" width="9" style="30" bestFit="1" customWidth="1"/>
    <col min="32" max="32" width="8.85546875" style="30"/>
    <col min="33" max="33" width="8.140625" style="30" customWidth="1"/>
    <col min="34" max="34" width="6.28515625" style="30" customWidth="1"/>
    <col min="35" max="35" width="6" style="30" customWidth="1"/>
    <col min="36" max="16384" width="8.85546875" style="30"/>
  </cols>
  <sheetData>
    <row r="1" spans="1:36" x14ac:dyDescent="0.25">
      <c r="H1" s="1183" t="s">
        <v>649</v>
      </c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  <c r="AJ1" s="1198"/>
    </row>
    <row r="3" spans="1:36" ht="18.75" x14ac:dyDescent="0.3">
      <c r="B3" s="1199" t="s">
        <v>650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1200"/>
      <c r="V3" s="1198"/>
      <c r="W3" s="1198"/>
      <c r="X3" s="1198"/>
      <c r="Y3" s="1198"/>
    </row>
    <row r="4" spans="1:36" ht="20.25" x14ac:dyDescent="0.3">
      <c r="B4" s="423"/>
      <c r="C4" s="424"/>
      <c r="D4" s="425" t="s">
        <v>423</v>
      </c>
      <c r="E4" s="426"/>
      <c r="F4" s="426"/>
      <c r="G4" s="426"/>
      <c r="H4" s="426"/>
      <c r="I4" s="426"/>
      <c r="J4" s="426"/>
      <c r="K4" s="426"/>
      <c r="L4" s="427"/>
      <c r="M4" s="344"/>
      <c r="N4" s="344"/>
    </row>
    <row r="5" spans="1:36" ht="24" x14ac:dyDescent="0.25">
      <c r="A5" s="1124"/>
      <c r="B5" s="392" t="s">
        <v>0</v>
      </c>
      <c r="C5" s="72" t="s">
        <v>15</v>
      </c>
      <c r="D5" s="356"/>
      <c r="E5" s="1195" t="s">
        <v>159</v>
      </c>
      <c r="F5" s="1196"/>
      <c r="G5" s="1196"/>
      <c r="H5" s="1197"/>
      <c r="I5" s="1195">
        <v>2014</v>
      </c>
      <c r="J5" s="1196"/>
      <c r="K5" s="1196"/>
      <c r="L5" s="1197"/>
      <c r="M5" s="1178">
        <v>2015</v>
      </c>
      <c r="N5" s="1178"/>
      <c r="O5" s="1178"/>
      <c r="P5" s="1178"/>
      <c r="Q5" s="1178">
        <v>2016</v>
      </c>
      <c r="R5" s="1178"/>
      <c r="S5" s="1178"/>
      <c r="T5" s="1178"/>
      <c r="U5" s="1178">
        <v>2017</v>
      </c>
      <c r="V5" s="1178"/>
      <c r="W5" s="1178"/>
      <c r="X5" s="1178"/>
      <c r="Y5" s="1178">
        <v>2018</v>
      </c>
      <c r="Z5" s="1178"/>
      <c r="AA5" s="1178"/>
      <c r="AB5" s="1178"/>
      <c r="AC5" s="1178">
        <v>2019</v>
      </c>
      <c r="AD5" s="1178"/>
      <c r="AE5" s="1178"/>
      <c r="AF5" s="1178"/>
      <c r="AG5" s="1178">
        <v>2020</v>
      </c>
      <c r="AH5" s="1178"/>
      <c r="AI5" s="1178"/>
      <c r="AJ5" s="1178"/>
    </row>
    <row r="6" spans="1:36" ht="51.75" x14ac:dyDescent="0.25">
      <c r="A6" s="428"/>
      <c r="B6" s="358" t="s">
        <v>651</v>
      </c>
      <c r="C6" s="393"/>
      <c r="D6" s="393"/>
      <c r="E6" s="360" t="s">
        <v>148</v>
      </c>
      <c r="F6" s="361" t="s">
        <v>4</v>
      </c>
      <c r="G6" s="362" t="s">
        <v>3</v>
      </c>
      <c r="H6" s="363" t="s">
        <v>5</v>
      </c>
      <c r="I6" s="1037" t="s">
        <v>148</v>
      </c>
      <c r="J6" s="1038" t="s">
        <v>4</v>
      </c>
      <c r="K6" s="1038" t="s">
        <v>3</v>
      </c>
      <c r="L6" s="1039" t="s">
        <v>5</v>
      </c>
      <c r="M6" s="1039" t="s">
        <v>148</v>
      </c>
      <c r="N6" s="1039" t="s">
        <v>4</v>
      </c>
      <c r="O6" s="1039" t="s">
        <v>3</v>
      </c>
      <c r="P6" s="1039" t="s">
        <v>5</v>
      </c>
      <c r="Q6" s="1039" t="s">
        <v>148</v>
      </c>
      <c r="R6" s="1039" t="s">
        <v>4</v>
      </c>
      <c r="S6" s="1039" t="s">
        <v>3</v>
      </c>
      <c r="T6" s="1039" t="s">
        <v>5</v>
      </c>
      <c r="U6" s="364" t="s">
        <v>148</v>
      </c>
      <c r="V6" s="364" t="s">
        <v>4</v>
      </c>
      <c r="W6" s="364" t="s">
        <v>3</v>
      </c>
      <c r="X6" s="364" t="s">
        <v>5</v>
      </c>
      <c r="Y6" s="364" t="s">
        <v>148</v>
      </c>
      <c r="Z6" s="364" t="s">
        <v>4</v>
      </c>
      <c r="AA6" s="364" t="s">
        <v>3</v>
      </c>
      <c r="AB6" s="364" t="s">
        <v>5</v>
      </c>
      <c r="AC6" s="364" t="s">
        <v>148</v>
      </c>
      <c r="AD6" s="364" t="s">
        <v>4</v>
      </c>
      <c r="AE6" s="364" t="s">
        <v>3</v>
      </c>
      <c r="AF6" s="364" t="s">
        <v>5</v>
      </c>
      <c r="AG6" s="364" t="s">
        <v>148</v>
      </c>
      <c r="AH6" s="364" t="s">
        <v>4</v>
      </c>
      <c r="AI6" s="364" t="s">
        <v>3</v>
      </c>
      <c r="AJ6" s="364" t="s">
        <v>5</v>
      </c>
    </row>
    <row r="7" spans="1:36" ht="15.75" x14ac:dyDescent="0.25">
      <c r="A7" s="428"/>
      <c r="B7" s="393"/>
      <c r="C7" s="393"/>
      <c r="D7" s="393"/>
      <c r="E7" s="696">
        <f>F7+G7+H7</f>
        <v>32281.550000000003</v>
      </c>
      <c r="F7" s="696">
        <f t="shared" ref="F7:G7" si="0">J7+N7+R7+V7+Z7+AD7+AH7</f>
        <v>0</v>
      </c>
      <c r="G7" s="696">
        <f t="shared" si="0"/>
        <v>0</v>
      </c>
      <c r="H7" s="696">
        <f>L7+P7+T7+X7+AB7+AF7+AJ7</f>
        <v>32281.550000000003</v>
      </c>
      <c r="I7" s="696">
        <f>J7+K7+L7</f>
        <v>0</v>
      </c>
      <c r="J7" s="1125">
        <f t="shared" ref="J7:K8" si="1">J8</f>
        <v>0</v>
      </c>
      <c r="K7" s="1125">
        <f t="shared" si="1"/>
        <v>0</v>
      </c>
      <c r="L7" s="1125">
        <f>L8</f>
        <v>0</v>
      </c>
      <c r="M7" s="696">
        <f>N7+O7+P7</f>
        <v>0</v>
      </c>
      <c r="N7" s="453">
        <f t="shared" ref="N7:O8" si="2">N8</f>
        <v>0</v>
      </c>
      <c r="O7" s="453">
        <f t="shared" si="2"/>
        <v>0</v>
      </c>
      <c r="P7" s="453">
        <f>P8</f>
        <v>0</v>
      </c>
      <c r="Q7" s="696">
        <f>R7+S7+T7</f>
        <v>0</v>
      </c>
      <c r="R7" s="453">
        <f t="shared" ref="R7:S8" si="3">R8</f>
        <v>0</v>
      </c>
      <c r="S7" s="453">
        <f t="shared" si="3"/>
        <v>0</v>
      </c>
      <c r="T7" s="453">
        <f>T8</f>
        <v>0</v>
      </c>
      <c r="U7" s="696">
        <f>V7+W7+X7</f>
        <v>0</v>
      </c>
      <c r="V7" s="453">
        <f t="shared" ref="V7:W8" si="4">V8</f>
        <v>0</v>
      </c>
      <c r="W7" s="453">
        <f t="shared" si="4"/>
        <v>0</v>
      </c>
      <c r="X7" s="453">
        <f>X8</f>
        <v>0</v>
      </c>
      <c r="Y7" s="696">
        <f>Z7+AA7+AB7</f>
        <v>10759.45</v>
      </c>
      <c r="Z7" s="453">
        <f t="shared" ref="Z7:AA8" si="5">Z8</f>
        <v>0</v>
      </c>
      <c r="AA7" s="453">
        <f t="shared" si="5"/>
        <v>0</v>
      </c>
      <c r="AB7" s="453">
        <f>AB8</f>
        <v>10759.45</v>
      </c>
      <c r="AC7" s="696">
        <f>AD7+AE7+AF7</f>
        <v>10761.5</v>
      </c>
      <c r="AD7" s="453">
        <f t="shared" ref="AD7:AE8" si="6">AD8</f>
        <v>0</v>
      </c>
      <c r="AE7" s="453">
        <f t="shared" si="6"/>
        <v>0</v>
      </c>
      <c r="AF7" s="453">
        <f>AF8</f>
        <v>10761.5</v>
      </c>
      <c r="AG7" s="1125">
        <f>AH7+AI7+AJ7</f>
        <v>10760.6</v>
      </c>
      <c r="AH7" s="453">
        <f t="shared" ref="AH7:AI8" si="7">AH8</f>
        <v>0</v>
      </c>
      <c r="AI7" s="453">
        <f t="shared" si="7"/>
        <v>0</v>
      </c>
      <c r="AJ7" s="453">
        <f>AJ8</f>
        <v>10760.6</v>
      </c>
    </row>
    <row r="8" spans="1:36" ht="39" x14ac:dyDescent="0.25">
      <c r="A8" s="791" t="s">
        <v>188</v>
      </c>
      <c r="B8" s="792" t="s">
        <v>652</v>
      </c>
      <c r="C8" s="780"/>
      <c r="D8" s="780"/>
      <c r="E8" s="737">
        <f t="shared" ref="E8:E11" si="8">G8+H8</f>
        <v>32281.550000000003</v>
      </c>
      <c r="F8" s="737">
        <f>J8+N8+R8+V8+Z8+AD8+AH8</f>
        <v>0</v>
      </c>
      <c r="G8" s="737">
        <f>K8+O8+S8+W8+AA8+AE8+AI8</f>
        <v>0</v>
      </c>
      <c r="H8" s="737">
        <f>L8+P8+T8+X8+AB8+AF8+AJ8</f>
        <v>32281.550000000003</v>
      </c>
      <c r="I8" s="737">
        <f t="shared" ref="I8:I11" si="9">K8+L8</f>
        <v>0</v>
      </c>
      <c r="J8" s="737">
        <f t="shared" si="1"/>
        <v>0</v>
      </c>
      <c r="K8" s="737">
        <f t="shared" si="1"/>
        <v>0</v>
      </c>
      <c r="L8" s="737">
        <f>L9</f>
        <v>0</v>
      </c>
      <c r="M8" s="737">
        <f t="shared" ref="M8:M11" si="10">O8+P8</f>
        <v>0</v>
      </c>
      <c r="N8" s="737">
        <f t="shared" si="2"/>
        <v>0</v>
      </c>
      <c r="O8" s="737">
        <f t="shared" si="2"/>
        <v>0</v>
      </c>
      <c r="P8" s="737">
        <f>P9</f>
        <v>0</v>
      </c>
      <c r="Q8" s="737">
        <f t="shared" ref="Q8:Q11" si="11">S8+T8</f>
        <v>0</v>
      </c>
      <c r="R8" s="737">
        <f t="shared" si="3"/>
        <v>0</v>
      </c>
      <c r="S8" s="737">
        <f t="shared" si="3"/>
        <v>0</v>
      </c>
      <c r="T8" s="737">
        <f>T9</f>
        <v>0</v>
      </c>
      <c r="U8" s="737">
        <f>W8+X8</f>
        <v>0</v>
      </c>
      <c r="V8" s="1126">
        <f t="shared" si="4"/>
        <v>0</v>
      </c>
      <c r="W8" s="737">
        <f t="shared" si="4"/>
        <v>0</v>
      </c>
      <c r="X8" s="1126">
        <f>X9</f>
        <v>0</v>
      </c>
      <c r="Y8" s="737">
        <f>AA8+AB8</f>
        <v>10759.45</v>
      </c>
      <c r="Z8" s="737">
        <f t="shared" si="5"/>
        <v>0</v>
      </c>
      <c r="AA8" s="737">
        <f t="shared" si="5"/>
        <v>0</v>
      </c>
      <c r="AB8" s="737">
        <f>AB9</f>
        <v>10759.45</v>
      </c>
      <c r="AC8" s="737">
        <f t="shared" ref="AC8:AC11" si="12">AD8+AE8+AF8</f>
        <v>10761.5</v>
      </c>
      <c r="AD8" s="737">
        <f t="shared" si="6"/>
        <v>0</v>
      </c>
      <c r="AE8" s="737">
        <f t="shared" si="6"/>
        <v>0</v>
      </c>
      <c r="AF8" s="1127">
        <f>AF9</f>
        <v>10761.5</v>
      </c>
      <c r="AG8" s="1128">
        <f>AH8+AI8+AJ8</f>
        <v>10760.6</v>
      </c>
      <c r="AH8" s="737">
        <f t="shared" si="7"/>
        <v>0</v>
      </c>
      <c r="AI8" s="737">
        <f t="shared" si="7"/>
        <v>0</v>
      </c>
      <c r="AJ8" s="1127">
        <f>AJ9</f>
        <v>10760.6</v>
      </c>
    </row>
    <row r="9" spans="1:36" ht="51.75" x14ac:dyDescent="0.25">
      <c r="A9" s="431" t="s">
        <v>188</v>
      </c>
      <c r="B9" s="14" t="s">
        <v>653</v>
      </c>
      <c r="C9" s="1129" t="s">
        <v>482</v>
      </c>
      <c r="D9" s="365"/>
      <c r="E9" s="26">
        <f t="shared" si="8"/>
        <v>32281.550000000003</v>
      </c>
      <c r="F9" s="26">
        <f t="shared" ref="F9:G11" si="13">J9+N9+R9+V9+Z9+AD9+AH9</f>
        <v>0</v>
      </c>
      <c r="G9" s="26">
        <f t="shared" si="13"/>
        <v>0</v>
      </c>
      <c r="H9" s="26">
        <f>L9+P9+T9+X9+AB9+AF9+AJ9</f>
        <v>32281.550000000003</v>
      </c>
      <c r="I9" s="1041">
        <f t="shared" si="9"/>
        <v>0</v>
      </c>
      <c r="J9" s="1043">
        <f t="shared" ref="J9:K9" si="14">J10+J11</f>
        <v>0</v>
      </c>
      <c r="K9" s="1043">
        <f t="shared" si="14"/>
        <v>0</v>
      </c>
      <c r="L9" s="1043">
        <f>L10+L11</f>
        <v>0</v>
      </c>
      <c r="M9" s="1041">
        <f t="shared" si="10"/>
        <v>0</v>
      </c>
      <c r="N9" s="1041"/>
      <c r="O9" s="1070">
        <f>O10+O11</f>
        <v>0</v>
      </c>
      <c r="P9" s="1070">
        <f>P10+P11</f>
        <v>0</v>
      </c>
      <c r="Q9" s="1041">
        <f t="shared" si="11"/>
        <v>0</v>
      </c>
      <c r="R9" s="1070">
        <f t="shared" ref="R9:S9" si="15">R10+R11</f>
        <v>0</v>
      </c>
      <c r="S9" s="1070">
        <f t="shared" si="15"/>
        <v>0</v>
      </c>
      <c r="T9" s="1070">
        <f>T10+T11</f>
        <v>0</v>
      </c>
      <c r="U9" s="1130">
        <f t="shared" ref="U9:U11" si="16">W9+X9</f>
        <v>0</v>
      </c>
      <c r="V9" s="1131">
        <f t="shared" ref="V9:W9" si="17">V10+V11</f>
        <v>0</v>
      </c>
      <c r="W9" s="1131">
        <f t="shared" si="17"/>
        <v>0</v>
      </c>
      <c r="X9" s="1131">
        <f>X10+X11</f>
        <v>0</v>
      </c>
      <c r="Y9" s="1132">
        <f t="shared" ref="Y9:Y11" si="18">AA9+AB9</f>
        <v>10759.45</v>
      </c>
      <c r="Z9" s="704">
        <f t="shared" ref="Z9:AA9" si="19">Z10+Z11</f>
        <v>0</v>
      </c>
      <c r="AA9" s="704">
        <f t="shared" si="19"/>
        <v>0</v>
      </c>
      <c r="AB9" s="704">
        <f>AB10+AB11</f>
        <v>10759.45</v>
      </c>
      <c r="AC9" s="1132">
        <f t="shared" si="12"/>
        <v>10761.5</v>
      </c>
      <c r="AD9" s="1122">
        <f t="shared" ref="AD9:AE9" si="20">AD10+AD11</f>
        <v>0</v>
      </c>
      <c r="AE9" s="1122">
        <f t="shared" si="20"/>
        <v>0</v>
      </c>
      <c r="AF9" s="1122">
        <f>AF10+AF11</f>
        <v>10761.5</v>
      </c>
      <c r="AG9" s="691">
        <f>AH9+AI9+AJ9</f>
        <v>10760.6</v>
      </c>
      <c r="AH9" s="1133">
        <f t="shared" ref="AH9:AI9" si="21">AH10+AH11</f>
        <v>0</v>
      </c>
      <c r="AI9" s="1133">
        <f t="shared" si="21"/>
        <v>0</v>
      </c>
      <c r="AJ9" s="1133">
        <f>AJ10+AJ11</f>
        <v>10760.6</v>
      </c>
    </row>
    <row r="10" spans="1:36" s="436" customFormat="1" ht="39" x14ac:dyDescent="0.25">
      <c r="A10" s="1134" t="s">
        <v>6</v>
      </c>
      <c r="B10" s="1135" t="s">
        <v>654</v>
      </c>
      <c r="C10" s="1129" t="s">
        <v>482</v>
      </c>
      <c r="D10" s="434"/>
      <c r="E10" s="26">
        <f t="shared" si="8"/>
        <v>31981.550000000003</v>
      </c>
      <c r="F10" s="26">
        <f t="shared" si="13"/>
        <v>0</v>
      </c>
      <c r="G10" s="26">
        <f t="shared" si="13"/>
        <v>0</v>
      </c>
      <c r="H10" s="26">
        <f>L10+P10+T10+X10+AB10+AF10+AJ10</f>
        <v>31981.550000000003</v>
      </c>
      <c r="I10" s="1041">
        <f t="shared" si="9"/>
        <v>0</v>
      </c>
      <c r="J10" s="1136"/>
      <c r="K10" s="1136"/>
      <c r="L10" s="1137"/>
      <c r="M10" s="1041">
        <f t="shared" si="10"/>
        <v>0</v>
      </c>
      <c r="N10" s="1136"/>
      <c r="O10" s="1137"/>
      <c r="P10" s="1137"/>
      <c r="Q10" s="1041">
        <f t="shared" si="11"/>
        <v>0</v>
      </c>
      <c r="R10" s="1136"/>
      <c r="S10" s="1138"/>
      <c r="T10" s="1138"/>
      <c r="U10" s="1130">
        <f t="shared" si="16"/>
        <v>0</v>
      </c>
      <c r="V10" s="1139"/>
      <c r="W10" s="1140"/>
      <c r="X10" s="1140">
        <v>0</v>
      </c>
      <c r="Y10" s="1132">
        <f t="shared" si="18"/>
        <v>10659.45</v>
      </c>
      <c r="Z10" s="1140"/>
      <c r="AA10" s="1140"/>
      <c r="AB10" s="1140">
        <v>10659.45</v>
      </c>
      <c r="AC10" s="1132">
        <f t="shared" si="12"/>
        <v>10661.5</v>
      </c>
      <c r="AD10" s="1099"/>
      <c r="AE10" s="1099"/>
      <c r="AF10" s="1099">
        <v>10661.5</v>
      </c>
      <c r="AG10" s="691">
        <f t="shared" ref="AG10:AG11" si="22">AH10+AI10+AJ10</f>
        <v>10660.6</v>
      </c>
      <c r="AH10" s="1099"/>
      <c r="AI10" s="1099"/>
      <c r="AJ10" s="1099">
        <v>10660.6</v>
      </c>
    </row>
    <row r="11" spans="1:36" ht="77.25" x14ac:dyDescent="0.25">
      <c r="A11" s="1105" t="s">
        <v>8</v>
      </c>
      <c r="B11" s="373" t="s">
        <v>554</v>
      </c>
      <c r="C11" s="1129" t="s">
        <v>482</v>
      </c>
      <c r="D11" s="16"/>
      <c r="E11" s="26">
        <f t="shared" si="8"/>
        <v>300</v>
      </c>
      <c r="F11" s="26">
        <f t="shared" si="13"/>
        <v>0</v>
      </c>
      <c r="G11" s="26">
        <f t="shared" si="13"/>
        <v>0</v>
      </c>
      <c r="H11" s="26">
        <f>L11+P11+T11+X11+AB11+AF11+AJ11</f>
        <v>300</v>
      </c>
      <c r="I11" s="1041">
        <f t="shared" si="9"/>
        <v>0</v>
      </c>
      <c r="J11" s="16"/>
      <c r="K11" s="16"/>
      <c r="L11" s="16"/>
      <c r="M11" s="1041">
        <f t="shared" si="10"/>
        <v>0</v>
      </c>
      <c r="N11" s="16"/>
      <c r="O11" s="16"/>
      <c r="P11" s="16"/>
      <c r="Q11" s="1041">
        <f t="shared" si="11"/>
        <v>0</v>
      </c>
      <c r="R11" s="16"/>
      <c r="S11" s="16"/>
      <c r="T11" s="16"/>
      <c r="U11" s="1130">
        <f t="shared" si="16"/>
        <v>0</v>
      </c>
      <c r="V11" s="1133"/>
      <c r="W11" s="1133"/>
      <c r="X11" s="1133">
        <v>0</v>
      </c>
      <c r="Y11" s="1132">
        <f t="shared" si="18"/>
        <v>100</v>
      </c>
      <c r="Z11" s="1133"/>
      <c r="AA11" s="1133"/>
      <c r="AB11" s="691">
        <v>100</v>
      </c>
      <c r="AC11" s="1132">
        <f t="shared" si="12"/>
        <v>100</v>
      </c>
      <c r="AD11" s="1133"/>
      <c r="AE11" s="1133"/>
      <c r="AF11" s="691">
        <v>100</v>
      </c>
      <c r="AG11" s="691">
        <f t="shared" si="22"/>
        <v>100</v>
      </c>
      <c r="AH11" s="1133"/>
      <c r="AI11" s="1133"/>
      <c r="AJ11" s="691">
        <v>100</v>
      </c>
    </row>
  </sheetData>
  <mergeCells count="10">
    <mergeCell ref="H1:AJ1"/>
    <mergeCell ref="B3:Y3"/>
    <mergeCell ref="E5:H5"/>
    <mergeCell ref="I5:L5"/>
    <mergeCell ref="M5:P5"/>
    <mergeCell ref="Q5:T5"/>
    <mergeCell ref="U5:X5"/>
    <mergeCell ref="Y5:AB5"/>
    <mergeCell ref="AC5:AF5"/>
    <mergeCell ref="AG5:A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zoomScaleNormal="100" workbookViewId="0">
      <selection activeCell="F18" sqref="F18"/>
    </sheetView>
  </sheetViews>
  <sheetFormatPr defaultRowHeight="15" x14ac:dyDescent="0.25"/>
  <cols>
    <col min="1" max="1" width="9.140625" style="844"/>
    <col min="2" max="2" width="3.7109375" style="844" customWidth="1"/>
    <col min="3" max="3" width="10.5703125" style="844" bestFit="1" customWidth="1"/>
    <col min="4" max="4" width="12.5703125" style="844" bestFit="1" customWidth="1"/>
    <col min="5" max="5" width="9.85546875" style="844" customWidth="1"/>
    <col min="6" max="6" width="13.42578125" style="844" customWidth="1"/>
    <col min="7" max="7" width="13.7109375" style="844" customWidth="1"/>
    <col min="8" max="9" width="12.7109375" style="844" customWidth="1"/>
    <col min="10" max="10" width="14" style="844" customWidth="1"/>
    <col min="11" max="11" width="9.140625" style="844"/>
    <col min="12" max="12" width="10.7109375" style="844" customWidth="1"/>
    <col min="13" max="13" width="9.5703125" style="844" bestFit="1" customWidth="1"/>
    <col min="14" max="261" width="9.140625" style="844"/>
    <col min="262" max="266" width="10.5703125" style="844" bestFit="1" customWidth="1"/>
    <col min="267" max="517" width="9.140625" style="844"/>
    <col min="518" max="522" width="10.5703125" style="844" bestFit="1" customWidth="1"/>
    <col min="523" max="773" width="9.140625" style="844"/>
    <col min="774" max="778" width="10.5703125" style="844" bestFit="1" customWidth="1"/>
    <col min="779" max="1029" width="9.140625" style="844"/>
    <col min="1030" max="1034" width="10.5703125" style="844" bestFit="1" customWidth="1"/>
    <col min="1035" max="1285" width="9.140625" style="844"/>
    <col min="1286" max="1290" width="10.5703125" style="844" bestFit="1" customWidth="1"/>
    <col min="1291" max="1541" width="9.140625" style="844"/>
    <col min="1542" max="1546" width="10.5703125" style="844" bestFit="1" customWidth="1"/>
    <col min="1547" max="1797" width="9.140625" style="844"/>
    <col min="1798" max="1802" width="10.5703125" style="844" bestFit="1" customWidth="1"/>
    <col min="1803" max="2053" width="9.140625" style="844"/>
    <col min="2054" max="2058" width="10.5703125" style="844" bestFit="1" customWidth="1"/>
    <col min="2059" max="2309" width="9.140625" style="844"/>
    <col min="2310" max="2314" width="10.5703125" style="844" bestFit="1" customWidth="1"/>
    <col min="2315" max="2565" width="9.140625" style="844"/>
    <col min="2566" max="2570" width="10.5703125" style="844" bestFit="1" customWidth="1"/>
    <col min="2571" max="2821" width="9.140625" style="844"/>
    <col min="2822" max="2826" width="10.5703125" style="844" bestFit="1" customWidth="1"/>
    <col min="2827" max="3077" width="9.140625" style="844"/>
    <col min="3078" max="3082" width="10.5703125" style="844" bestFit="1" customWidth="1"/>
    <col min="3083" max="3333" width="9.140625" style="844"/>
    <col min="3334" max="3338" width="10.5703125" style="844" bestFit="1" customWidth="1"/>
    <col min="3339" max="3589" width="9.140625" style="844"/>
    <col min="3590" max="3594" width="10.5703125" style="844" bestFit="1" customWidth="1"/>
    <col min="3595" max="3845" width="9.140625" style="844"/>
    <col min="3846" max="3850" width="10.5703125" style="844" bestFit="1" customWidth="1"/>
    <col min="3851" max="4101" width="9.140625" style="844"/>
    <col min="4102" max="4106" width="10.5703125" style="844" bestFit="1" customWidth="1"/>
    <col min="4107" max="4357" width="9.140625" style="844"/>
    <col min="4358" max="4362" width="10.5703125" style="844" bestFit="1" customWidth="1"/>
    <col min="4363" max="4613" width="9.140625" style="844"/>
    <col min="4614" max="4618" width="10.5703125" style="844" bestFit="1" customWidth="1"/>
    <col min="4619" max="4869" width="9.140625" style="844"/>
    <col min="4870" max="4874" width="10.5703125" style="844" bestFit="1" customWidth="1"/>
    <col min="4875" max="5125" width="9.140625" style="844"/>
    <col min="5126" max="5130" width="10.5703125" style="844" bestFit="1" customWidth="1"/>
    <col min="5131" max="5381" width="9.140625" style="844"/>
    <col min="5382" max="5386" width="10.5703125" style="844" bestFit="1" customWidth="1"/>
    <col min="5387" max="5637" width="9.140625" style="844"/>
    <col min="5638" max="5642" width="10.5703125" style="844" bestFit="1" customWidth="1"/>
    <col min="5643" max="5893" width="9.140625" style="844"/>
    <col min="5894" max="5898" width="10.5703125" style="844" bestFit="1" customWidth="1"/>
    <col min="5899" max="6149" width="9.140625" style="844"/>
    <col min="6150" max="6154" width="10.5703125" style="844" bestFit="1" customWidth="1"/>
    <col min="6155" max="6405" width="9.140625" style="844"/>
    <col min="6406" max="6410" width="10.5703125" style="844" bestFit="1" customWidth="1"/>
    <col min="6411" max="6661" width="9.140625" style="844"/>
    <col min="6662" max="6666" width="10.5703125" style="844" bestFit="1" customWidth="1"/>
    <col min="6667" max="6917" width="9.140625" style="844"/>
    <col min="6918" max="6922" width="10.5703125" style="844" bestFit="1" customWidth="1"/>
    <col min="6923" max="7173" width="9.140625" style="844"/>
    <col min="7174" max="7178" width="10.5703125" style="844" bestFit="1" customWidth="1"/>
    <col min="7179" max="7429" width="9.140625" style="844"/>
    <col min="7430" max="7434" width="10.5703125" style="844" bestFit="1" customWidth="1"/>
    <col min="7435" max="7685" width="9.140625" style="844"/>
    <col min="7686" max="7690" width="10.5703125" style="844" bestFit="1" customWidth="1"/>
    <col min="7691" max="7941" width="9.140625" style="844"/>
    <col min="7942" max="7946" width="10.5703125" style="844" bestFit="1" customWidth="1"/>
    <col min="7947" max="8197" width="9.140625" style="844"/>
    <col min="8198" max="8202" width="10.5703125" style="844" bestFit="1" customWidth="1"/>
    <col min="8203" max="8453" width="9.140625" style="844"/>
    <col min="8454" max="8458" width="10.5703125" style="844" bestFit="1" customWidth="1"/>
    <col min="8459" max="8709" width="9.140625" style="844"/>
    <col min="8710" max="8714" width="10.5703125" style="844" bestFit="1" customWidth="1"/>
    <col min="8715" max="8965" width="9.140625" style="844"/>
    <col min="8966" max="8970" width="10.5703125" style="844" bestFit="1" customWidth="1"/>
    <col min="8971" max="9221" width="9.140625" style="844"/>
    <col min="9222" max="9226" width="10.5703125" style="844" bestFit="1" customWidth="1"/>
    <col min="9227" max="9477" width="9.140625" style="844"/>
    <col min="9478" max="9482" width="10.5703125" style="844" bestFit="1" customWidth="1"/>
    <col min="9483" max="9733" width="9.140625" style="844"/>
    <col min="9734" max="9738" width="10.5703125" style="844" bestFit="1" customWidth="1"/>
    <col min="9739" max="9989" width="9.140625" style="844"/>
    <col min="9990" max="9994" width="10.5703125" style="844" bestFit="1" customWidth="1"/>
    <col min="9995" max="10245" width="9.140625" style="844"/>
    <col min="10246" max="10250" width="10.5703125" style="844" bestFit="1" customWidth="1"/>
    <col min="10251" max="10501" width="9.140625" style="844"/>
    <col min="10502" max="10506" width="10.5703125" style="844" bestFit="1" customWidth="1"/>
    <col min="10507" max="10757" width="9.140625" style="844"/>
    <col min="10758" max="10762" width="10.5703125" style="844" bestFit="1" customWidth="1"/>
    <col min="10763" max="11013" width="9.140625" style="844"/>
    <col min="11014" max="11018" width="10.5703125" style="844" bestFit="1" customWidth="1"/>
    <col min="11019" max="11269" width="9.140625" style="844"/>
    <col min="11270" max="11274" width="10.5703125" style="844" bestFit="1" customWidth="1"/>
    <col min="11275" max="11525" width="9.140625" style="844"/>
    <col min="11526" max="11530" width="10.5703125" style="844" bestFit="1" customWidth="1"/>
    <col min="11531" max="11781" width="9.140625" style="844"/>
    <col min="11782" max="11786" width="10.5703125" style="844" bestFit="1" customWidth="1"/>
    <col min="11787" max="12037" width="9.140625" style="844"/>
    <col min="12038" max="12042" width="10.5703125" style="844" bestFit="1" customWidth="1"/>
    <col min="12043" max="12293" width="9.140625" style="844"/>
    <col min="12294" max="12298" width="10.5703125" style="844" bestFit="1" customWidth="1"/>
    <col min="12299" max="12549" width="9.140625" style="844"/>
    <col min="12550" max="12554" width="10.5703125" style="844" bestFit="1" customWidth="1"/>
    <col min="12555" max="12805" width="9.140625" style="844"/>
    <col min="12806" max="12810" width="10.5703125" style="844" bestFit="1" customWidth="1"/>
    <col min="12811" max="13061" width="9.140625" style="844"/>
    <col min="13062" max="13066" width="10.5703125" style="844" bestFit="1" customWidth="1"/>
    <col min="13067" max="13317" width="9.140625" style="844"/>
    <col min="13318" max="13322" width="10.5703125" style="844" bestFit="1" customWidth="1"/>
    <col min="13323" max="13573" width="9.140625" style="844"/>
    <col min="13574" max="13578" width="10.5703125" style="844" bestFit="1" customWidth="1"/>
    <col min="13579" max="13829" width="9.140625" style="844"/>
    <col min="13830" max="13834" width="10.5703125" style="844" bestFit="1" customWidth="1"/>
    <col min="13835" max="14085" width="9.140625" style="844"/>
    <col min="14086" max="14090" width="10.5703125" style="844" bestFit="1" customWidth="1"/>
    <col min="14091" max="14341" width="9.140625" style="844"/>
    <col min="14342" max="14346" width="10.5703125" style="844" bestFit="1" customWidth="1"/>
    <col min="14347" max="14597" width="9.140625" style="844"/>
    <col min="14598" max="14602" width="10.5703125" style="844" bestFit="1" customWidth="1"/>
    <col min="14603" max="14853" width="9.140625" style="844"/>
    <col min="14854" max="14858" width="10.5703125" style="844" bestFit="1" customWidth="1"/>
    <col min="14859" max="15109" width="9.140625" style="844"/>
    <col min="15110" max="15114" width="10.5703125" style="844" bestFit="1" customWidth="1"/>
    <col min="15115" max="15365" width="9.140625" style="844"/>
    <col min="15366" max="15370" width="10.5703125" style="844" bestFit="1" customWidth="1"/>
    <col min="15371" max="15621" width="9.140625" style="844"/>
    <col min="15622" max="15626" width="10.5703125" style="844" bestFit="1" customWidth="1"/>
    <col min="15627" max="15877" width="9.140625" style="844"/>
    <col min="15878" max="15882" width="10.5703125" style="844" bestFit="1" customWidth="1"/>
    <col min="15883" max="16133" width="9.140625" style="844"/>
    <col min="16134" max="16138" width="10.5703125" style="844" bestFit="1" customWidth="1"/>
    <col min="16139" max="16384" width="9.140625" style="844"/>
  </cols>
  <sheetData>
    <row r="2" spans="1:13" ht="15.75" x14ac:dyDescent="0.25">
      <c r="A2" s="874" t="s">
        <v>275</v>
      </c>
      <c r="B2" s="845"/>
      <c r="C2" s="846">
        <v>2014</v>
      </c>
      <c r="D2" s="846">
        <v>2015</v>
      </c>
      <c r="E2" s="846">
        <v>2016</v>
      </c>
      <c r="F2" s="846">
        <v>2017</v>
      </c>
      <c r="G2" s="846">
        <v>2018</v>
      </c>
      <c r="H2" s="846">
        <v>2019</v>
      </c>
      <c r="I2" s="846">
        <v>2020</v>
      </c>
      <c r="J2" s="847" t="s">
        <v>136</v>
      </c>
    </row>
    <row r="3" spans="1:13" x14ac:dyDescent="0.25">
      <c r="A3" s="848" t="s">
        <v>2</v>
      </c>
      <c r="B3" s="845"/>
      <c r="C3" s="849">
        <f t="shared" ref="C3:I3" si="0">C4+C5+C6</f>
        <v>1033047.5</v>
      </c>
      <c r="D3" s="849">
        <f t="shared" si="0"/>
        <v>1055009.78</v>
      </c>
      <c r="E3" s="849">
        <f t="shared" si="0"/>
        <v>1095664.8799999999</v>
      </c>
      <c r="F3" s="849">
        <f t="shared" si="0"/>
        <v>1200693.24</v>
      </c>
      <c r="G3" s="849">
        <f t="shared" si="0"/>
        <v>1224889.6499999999</v>
      </c>
      <c r="H3" s="849">
        <f t="shared" si="0"/>
        <v>1267514.52</v>
      </c>
      <c r="I3" s="849">
        <f t="shared" si="0"/>
        <v>1295354.2050000001</v>
      </c>
      <c r="J3" s="849">
        <f>J4+J5+J6</f>
        <v>8172173.7750000004</v>
      </c>
    </row>
    <row r="4" spans="1:13" x14ac:dyDescent="0.25">
      <c r="A4" s="848" t="s">
        <v>3</v>
      </c>
      <c r="B4" s="845"/>
      <c r="C4" s="845">
        <v>622862.80000000005</v>
      </c>
      <c r="D4" s="845">
        <v>618044.1</v>
      </c>
      <c r="E4" s="845">
        <v>637626.9</v>
      </c>
      <c r="F4" s="850">
        <v>696714.65</v>
      </c>
      <c r="G4" s="850">
        <v>734842.7</v>
      </c>
      <c r="H4" s="850">
        <v>762509.38</v>
      </c>
      <c r="I4" s="850">
        <v>791774.15</v>
      </c>
      <c r="J4" s="850">
        <f t="shared" ref="J4:J5" si="1">C4+D4+E4+F4+G4+H4+I4</f>
        <v>4864374.68</v>
      </c>
    </row>
    <row r="5" spans="1:13" x14ac:dyDescent="0.25">
      <c r="A5" s="848" t="s">
        <v>4</v>
      </c>
      <c r="B5" s="845"/>
      <c r="C5" s="845"/>
      <c r="D5" s="845">
        <v>1064.5</v>
      </c>
      <c r="E5" s="845"/>
      <c r="F5" s="850"/>
      <c r="G5" s="850"/>
      <c r="H5" s="850"/>
      <c r="I5" s="850"/>
      <c r="J5" s="850">
        <f t="shared" si="1"/>
        <v>1064.5</v>
      </c>
    </row>
    <row r="6" spans="1:13" x14ac:dyDescent="0.25">
      <c r="A6" s="848" t="s">
        <v>5</v>
      </c>
      <c r="B6" s="845"/>
      <c r="C6" s="845">
        <v>410184.7</v>
      </c>
      <c r="D6" s="850">
        <v>435901.18</v>
      </c>
      <c r="E6" s="850">
        <f>458037.98</f>
        <v>458037.98</v>
      </c>
      <c r="F6" s="850">
        <f>485919.39+18059.2</f>
        <v>503978.59</v>
      </c>
      <c r="G6" s="850">
        <f>506566.35-16519.4</f>
        <v>490046.94999999995</v>
      </c>
      <c r="H6" s="850">
        <v>505005.14</v>
      </c>
      <c r="I6" s="850">
        <v>503580.05499999999</v>
      </c>
      <c r="J6" s="850">
        <f>C6+D6+E6+F6+G6+H6+I6</f>
        <v>3306734.5950000002</v>
      </c>
    </row>
    <row r="7" spans="1:13" x14ac:dyDescent="0.25">
      <c r="F7" s="858"/>
    </row>
    <row r="8" spans="1:13" ht="15.75" x14ac:dyDescent="0.25">
      <c r="A8" s="851" t="s">
        <v>276</v>
      </c>
      <c r="B8" s="845"/>
      <c r="C8" s="846">
        <v>2014</v>
      </c>
      <c r="D8" s="846">
        <v>2015</v>
      </c>
      <c r="E8" s="846">
        <v>2016</v>
      </c>
      <c r="F8" s="859">
        <v>2017</v>
      </c>
      <c r="G8" s="846">
        <v>2018</v>
      </c>
      <c r="H8" s="846">
        <v>2019</v>
      </c>
      <c r="I8" s="846">
        <v>2020</v>
      </c>
      <c r="J8" s="845"/>
      <c r="K8" s="852"/>
      <c r="L8" s="853"/>
    </row>
    <row r="9" spans="1:13" x14ac:dyDescent="0.25">
      <c r="A9" s="848" t="s">
        <v>2</v>
      </c>
      <c r="B9" s="845"/>
      <c r="C9" s="849">
        <f t="shared" ref="C9:I9" si="2">C10+C11+C12</f>
        <v>49517.53</v>
      </c>
      <c r="D9" s="849">
        <f t="shared" si="2"/>
        <v>38376.813000000002</v>
      </c>
      <c r="E9" s="849">
        <f t="shared" si="2"/>
        <v>47338.884299999998</v>
      </c>
      <c r="F9" s="849">
        <f t="shared" si="2"/>
        <v>55130.200000000004</v>
      </c>
      <c r="G9" s="849">
        <f t="shared" si="2"/>
        <v>47101.7</v>
      </c>
      <c r="H9" s="849">
        <f t="shared" si="2"/>
        <v>36867.799999999996</v>
      </c>
      <c r="I9" s="849">
        <f t="shared" si="2"/>
        <v>44576.2</v>
      </c>
      <c r="J9" s="849">
        <f t="shared" ref="J9:J11" si="3">C9+D9+E9+F9+G9+H9+I9</f>
        <v>318909.12729999999</v>
      </c>
      <c r="K9" s="854"/>
      <c r="L9" s="855"/>
    </row>
    <row r="10" spans="1:13" x14ac:dyDescent="0.25">
      <c r="A10" s="848" t="s">
        <v>3</v>
      </c>
      <c r="B10" s="845"/>
      <c r="C10" s="845">
        <v>36747.599999999999</v>
      </c>
      <c r="D10" s="850">
        <v>27768.812000000002</v>
      </c>
      <c r="E10" s="845">
        <v>31261.7</v>
      </c>
      <c r="F10" s="850">
        <v>36752.800000000003</v>
      </c>
      <c r="G10" s="850">
        <v>30329.3</v>
      </c>
      <c r="H10" s="850">
        <v>29550.6</v>
      </c>
      <c r="I10" s="850">
        <v>29456.7</v>
      </c>
      <c r="J10" s="850">
        <f t="shared" si="3"/>
        <v>221867.51200000002</v>
      </c>
      <c r="K10" s="856"/>
      <c r="L10" s="853"/>
    </row>
    <row r="11" spans="1:13" x14ac:dyDescent="0.25">
      <c r="A11" s="848" t="s">
        <v>4</v>
      </c>
      <c r="B11" s="845"/>
      <c r="C11" s="845"/>
      <c r="D11" s="850">
        <v>722.4</v>
      </c>
      <c r="E11" s="850">
        <v>2386</v>
      </c>
      <c r="F11" s="850"/>
      <c r="G11" s="845"/>
      <c r="H11" s="845"/>
      <c r="I11" s="845"/>
      <c r="J11" s="850">
        <f t="shared" si="3"/>
        <v>3108.4</v>
      </c>
      <c r="K11" s="857"/>
      <c r="L11" s="853"/>
    </row>
    <row r="12" spans="1:13" x14ac:dyDescent="0.25">
      <c r="A12" s="848" t="s">
        <v>5</v>
      </c>
      <c r="B12" s="845"/>
      <c r="C12" s="850">
        <v>12769.93</v>
      </c>
      <c r="D12" s="850">
        <v>9885.6010000000006</v>
      </c>
      <c r="E12" s="850">
        <v>13691.184300000001</v>
      </c>
      <c r="F12" s="850">
        <f>18415.7-38.3</f>
        <v>18377.400000000001</v>
      </c>
      <c r="G12" s="850">
        <v>16772.400000000001</v>
      </c>
      <c r="H12" s="850">
        <v>7317.2</v>
      </c>
      <c r="I12" s="850">
        <v>15119.5</v>
      </c>
      <c r="J12" s="850">
        <f>C12+D12+E12+F12+G12+H12+I12</f>
        <v>93933.215299999996</v>
      </c>
      <c r="L12" s="858"/>
      <c r="M12" s="860"/>
    </row>
    <row r="13" spans="1:13" x14ac:dyDescent="0.25">
      <c r="F13" s="858"/>
    </row>
    <row r="14" spans="1:13" ht="15.75" x14ac:dyDescent="0.25">
      <c r="A14" s="851" t="s">
        <v>277</v>
      </c>
      <c r="B14" s="845"/>
      <c r="C14" s="846">
        <v>2014</v>
      </c>
      <c r="D14" s="846">
        <v>2015</v>
      </c>
      <c r="E14" s="846">
        <v>2016</v>
      </c>
      <c r="F14" s="859">
        <v>2017</v>
      </c>
      <c r="G14" s="846">
        <v>2018</v>
      </c>
      <c r="H14" s="846">
        <v>2019</v>
      </c>
      <c r="I14" s="846">
        <v>2020</v>
      </c>
      <c r="J14" s="845"/>
    </row>
    <row r="15" spans="1:13" x14ac:dyDescent="0.25">
      <c r="A15" s="848" t="s">
        <v>2</v>
      </c>
      <c r="B15" s="845"/>
      <c r="C15" s="849">
        <f t="shared" ref="C15:I15" si="4">C16+C17+C18</f>
        <v>48204</v>
      </c>
      <c r="D15" s="849">
        <f t="shared" si="4"/>
        <v>49476.800000000003</v>
      </c>
      <c r="E15" s="849">
        <f t="shared" si="4"/>
        <v>51257.97</v>
      </c>
      <c r="F15" s="849">
        <f t="shared" si="4"/>
        <v>56480.579000000005</v>
      </c>
      <c r="G15" s="849">
        <f t="shared" si="4"/>
        <v>59135</v>
      </c>
      <c r="H15" s="849">
        <f t="shared" si="4"/>
        <v>58600</v>
      </c>
      <c r="I15" s="849">
        <f t="shared" si="4"/>
        <v>59100</v>
      </c>
      <c r="J15" s="849">
        <f t="shared" ref="J15:J17" si="5">C15+D15+E15+F15+G15+H15+I15</f>
        <v>382254.34900000005</v>
      </c>
    </row>
    <row r="16" spans="1:13" x14ac:dyDescent="0.25">
      <c r="A16" s="848" t="s">
        <v>3</v>
      </c>
      <c r="B16" s="845"/>
      <c r="C16" s="845"/>
      <c r="D16" s="845"/>
      <c r="E16" s="845"/>
      <c r="F16" s="850"/>
      <c r="G16" s="845"/>
      <c r="H16" s="845"/>
      <c r="I16" s="845"/>
      <c r="J16" s="850">
        <f t="shared" si="5"/>
        <v>0</v>
      </c>
    </row>
    <row r="17" spans="1:10" x14ac:dyDescent="0.25">
      <c r="A17" s="848" t="s">
        <v>4</v>
      </c>
      <c r="B17" s="845"/>
      <c r="C17" s="845"/>
      <c r="D17" s="845"/>
      <c r="E17" s="845"/>
      <c r="F17" s="850"/>
      <c r="G17" s="845"/>
      <c r="H17" s="845"/>
      <c r="I17" s="845"/>
      <c r="J17" s="850">
        <f t="shared" si="5"/>
        <v>0</v>
      </c>
    </row>
    <row r="18" spans="1:10" x14ac:dyDescent="0.25">
      <c r="A18" s="848" t="s">
        <v>5</v>
      </c>
      <c r="B18" s="845"/>
      <c r="C18" s="850">
        <v>48204</v>
      </c>
      <c r="D18" s="850">
        <v>49476.800000000003</v>
      </c>
      <c r="E18" s="850">
        <v>51257.97</v>
      </c>
      <c r="F18" s="850">
        <f>56352.438+128.141</f>
        <v>56480.579000000005</v>
      </c>
      <c r="G18" s="850">
        <v>59135</v>
      </c>
      <c r="H18" s="850">
        <v>58600</v>
      </c>
      <c r="I18" s="850">
        <v>59100</v>
      </c>
      <c r="J18" s="850">
        <f>C18+D18+E18+F18+G18+H18+I18</f>
        <v>382254.34900000005</v>
      </c>
    </row>
    <row r="19" spans="1:10" x14ac:dyDescent="0.25">
      <c r="F19" s="858"/>
    </row>
    <row r="20" spans="1:10" ht="15.75" x14ac:dyDescent="0.25">
      <c r="A20" s="851" t="s">
        <v>278</v>
      </c>
      <c r="B20" s="845"/>
      <c r="C20" s="846">
        <v>2014</v>
      </c>
      <c r="D20" s="846">
        <v>2015</v>
      </c>
      <c r="E20" s="846">
        <v>2016</v>
      </c>
      <c r="F20" s="859">
        <v>2017</v>
      </c>
      <c r="G20" s="846">
        <v>2018</v>
      </c>
      <c r="H20" s="846">
        <v>2019</v>
      </c>
      <c r="I20" s="846">
        <v>2020</v>
      </c>
      <c r="J20" s="845"/>
    </row>
    <row r="21" spans="1:10" x14ac:dyDescent="0.25">
      <c r="A21" s="848" t="s">
        <v>2</v>
      </c>
      <c r="B21" s="845"/>
      <c r="C21" s="849">
        <f t="shared" ref="C21:I21" si="6">C22+C23+C24</f>
        <v>173.5</v>
      </c>
      <c r="D21" s="849">
        <f t="shared" si="6"/>
        <v>124</v>
      </c>
      <c r="E21" s="849">
        <f t="shared" si="6"/>
        <v>136</v>
      </c>
      <c r="F21" s="849">
        <f t="shared" si="6"/>
        <v>255</v>
      </c>
      <c r="G21" s="849">
        <f t="shared" si="6"/>
        <v>456</v>
      </c>
      <c r="H21" s="849">
        <f t="shared" si="6"/>
        <v>256</v>
      </c>
      <c r="I21" s="849">
        <f t="shared" si="6"/>
        <v>256</v>
      </c>
      <c r="J21" s="849">
        <f t="shared" ref="J21:J23" si="7">C21+D21+E21+F21+G21+H21+I21</f>
        <v>1656.5</v>
      </c>
    </row>
    <row r="22" spans="1:10" x14ac:dyDescent="0.25">
      <c r="A22" s="848" t="s">
        <v>3</v>
      </c>
      <c r="B22" s="845"/>
      <c r="C22" s="845"/>
      <c r="D22" s="845"/>
      <c r="E22" s="845"/>
      <c r="F22" s="850"/>
      <c r="G22" s="845"/>
      <c r="H22" s="845"/>
      <c r="I22" s="845"/>
      <c r="J22" s="850">
        <f t="shared" si="7"/>
        <v>0</v>
      </c>
    </row>
    <row r="23" spans="1:10" x14ac:dyDescent="0.25">
      <c r="A23" s="848" t="s">
        <v>4</v>
      </c>
      <c r="B23" s="845"/>
      <c r="C23" s="845"/>
      <c r="D23" s="845"/>
      <c r="E23" s="845"/>
      <c r="F23" s="850"/>
      <c r="G23" s="845"/>
      <c r="H23" s="845"/>
      <c r="I23" s="845"/>
      <c r="J23" s="850">
        <f t="shared" si="7"/>
        <v>0</v>
      </c>
    </row>
    <row r="24" spans="1:10" x14ac:dyDescent="0.25">
      <c r="A24" s="848" t="s">
        <v>5</v>
      </c>
      <c r="B24" s="845"/>
      <c r="C24" s="845">
        <v>173.5</v>
      </c>
      <c r="D24" s="850">
        <v>124</v>
      </c>
      <c r="E24" s="850">
        <v>136</v>
      </c>
      <c r="F24" s="850">
        <f>240+15</f>
        <v>255</v>
      </c>
      <c r="G24" s="850">
        <v>456</v>
      </c>
      <c r="H24" s="850">
        <v>256</v>
      </c>
      <c r="I24" s="850">
        <v>256</v>
      </c>
      <c r="J24" s="850">
        <f>C24+D24+E24+F24+G24+H24+I24</f>
        <v>1656.5</v>
      </c>
    </row>
    <row r="25" spans="1:10" x14ac:dyDescent="0.25">
      <c r="F25" s="858"/>
    </row>
    <row r="26" spans="1:10" ht="15.75" x14ac:dyDescent="0.25">
      <c r="A26" s="851" t="s">
        <v>279</v>
      </c>
      <c r="B26" s="845"/>
      <c r="C26" s="846">
        <v>2014</v>
      </c>
      <c r="D26" s="846">
        <v>2015</v>
      </c>
      <c r="E26" s="846">
        <v>2016</v>
      </c>
      <c r="F26" s="859">
        <v>2017</v>
      </c>
      <c r="G26" s="846">
        <v>2018</v>
      </c>
      <c r="H26" s="846">
        <v>2019</v>
      </c>
      <c r="I26" s="846">
        <v>2020</v>
      </c>
      <c r="J26" s="845"/>
    </row>
    <row r="27" spans="1:10" x14ac:dyDescent="0.25">
      <c r="A27" s="848" t="s">
        <v>2</v>
      </c>
      <c r="B27" s="845"/>
      <c r="C27" s="849">
        <f t="shared" ref="C27:I27" si="8">C28+C29+C30</f>
        <v>62561.1</v>
      </c>
      <c r="D27" s="849">
        <f t="shared" si="8"/>
        <v>63567.1</v>
      </c>
      <c r="E27" s="849">
        <f t="shared" si="8"/>
        <v>72143.3</v>
      </c>
      <c r="F27" s="849">
        <f t="shared" si="8"/>
        <v>72376.899999999994</v>
      </c>
      <c r="G27" s="849">
        <f t="shared" si="8"/>
        <v>78929.899999999994</v>
      </c>
      <c r="H27" s="849">
        <f t="shared" si="8"/>
        <v>85073.51</v>
      </c>
      <c r="I27" s="1147">
        <f t="shared" si="8"/>
        <v>88474.3</v>
      </c>
      <c r="J27" s="849">
        <f t="shared" ref="J27:J29" si="9">C27+D27+E27+F27+G27+H27+I27</f>
        <v>523126.11000000004</v>
      </c>
    </row>
    <row r="28" spans="1:10" x14ac:dyDescent="0.25">
      <c r="A28" s="848" t="s">
        <v>3</v>
      </c>
      <c r="B28" s="845"/>
      <c r="C28" s="845">
        <v>62501.1</v>
      </c>
      <c r="D28" s="845">
        <v>63507.1</v>
      </c>
      <c r="E28" s="845">
        <v>72083.3</v>
      </c>
      <c r="F28" s="850">
        <v>72316.899999999994</v>
      </c>
      <c r="G28" s="845">
        <v>78869.899999999994</v>
      </c>
      <c r="H28" s="850">
        <v>85013.51</v>
      </c>
      <c r="I28" s="845">
        <v>88414.3</v>
      </c>
      <c r="J28" s="850">
        <f t="shared" si="9"/>
        <v>522706.11000000004</v>
      </c>
    </row>
    <row r="29" spans="1:10" x14ac:dyDescent="0.25">
      <c r="A29" s="848" t="s">
        <v>4</v>
      </c>
      <c r="B29" s="845"/>
      <c r="C29" s="845"/>
      <c r="D29" s="845"/>
      <c r="E29" s="845"/>
      <c r="F29" s="850"/>
      <c r="G29" s="845"/>
      <c r="H29" s="845"/>
      <c r="I29" s="845"/>
      <c r="J29" s="850">
        <f t="shared" si="9"/>
        <v>0</v>
      </c>
    </row>
    <row r="30" spans="1:10" x14ac:dyDescent="0.25">
      <c r="A30" s="848" t="s">
        <v>5</v>
      </c>
      <c r="B30" s="845"/>
      <c r="C30" s="845">
        <v>60</v>
      </c>
      <c r="D30" s="845">
        <v>60</v>
      </c>
      <c r="E30" s="845">
        <v>60</v>
      </c>
      <c r="F30" s="850">
        <v>60</v>
      </c>
      <c r="G30" s="845">
        <v>60</v>
      </c>
      <c r="H30" s="845">
        <v>60</v>
      </c>
      <c r="I30" s="845">
        <v>60</v>
      </c>
      <c r="J30" s="850">
        <f>C30+D30+E30+F30+G30+H30+I30</f>
        <v>420</v>
      </c>
    </row>
    <row r="31" spans="1:10" x14ac:dyDescent="0.25">
      <c r="A31" s="1141"/>
      <c r="B31" s="853"/>
      <c r="C31" s="853"/>
      <c r="D31" s="853"/>
      <c r="E31" s="853"/>
      <c r="F31" s="1142"/>
      <c r="G31" s="853"/>
      <c r="H31" s="853"/>
      <c r="I31" s="853"/>
      <c r="J31" s="1142"/>
    </row>
    <row r="32" spans="1:10" ht="15.75" x14ac:dyDescent="0.25">
      <c r="A32" s="851" t="s">
        <v>655</v>
      </c>
      <c r="B32" s="845"/>
      <c r="C32" s="846">
        <v>2014</v>
      </c>
      <c r="D32" s="846">
        <v>2015</v>
      </c>
      <c r="E32" s="846">
        <v>2016</v>
      </c>
      <c r="F32" s="859">
        <v>2017</v>
      </c>
      <c r="G32" s="846">
        <v>2018</v>
      </c>
      <c r="H32" s="846">
        <v>2019</v>
      </c>
      <c r="I32" s="846">
        <v>2020</v>
      </c>
      <c r="J32" s="845"/>
    </row>
    <row r="33" spans="1:10" x14ac:dyDescent="0.25">
      <c r="A33" s="848" t="s">
        <v>2</v>
      </c>
      <c r="B33" s="845"/>
      <c r="C33" s="845"/>
      <c r="D33" s="845"/>
      <c r="E33" s="845"/>
      <c r="F33" s="850">
        <f>F34+F35+F36</f>
        <v>0</v>
      </c>
      <c r="G33" s="850">
        <f t="shared" ref="G33:I33" si="10">G34+G35+G36</f>
        <v>10759.45</v>
      </c>
      <c r="H33" s="850">
        <f t="shared" si="10"/>
        <v>10761.5</v>
      </c>
      <c r="I33" s="850">
        <f t="shared" si="10"/>
        <v>10760.6</v>
      </c>
      <c r="J33" s="849">
        <f t="shared" ref="J33:J35" si="11">C33+D33+E33+F33+G33+H33+I33</f>
        <v>32281.550000000003</v>
      </c>
    </row>
    <row r="34" spans="1:10" x14ac:dyDescent="0.25">
      <c r="A34" s="848" t="s">
        <v>3</v>
      </c>
      <c r="B34" s="845"/>
      <c r="C34" s="845"/>
      <c r="D34" s="845"/>
      <c r="E34" s="845"/>
      <c r="F34" s="850"/>
      <c r="G34" s="850"/>
      <c r="H34" s="850"/>
      <c r="I34" s="850"/>
      <c r="J34" s="850">
        <f t="shared" si="11"/>
        <v>0</v>
      </c>
    </row>
    <row r="35" spans="1:10" x14ac:dyDescent="0.25">
      <c r="A35" s="848" t="s">
        <v>4</v>
      </c>
      <c r="B35" s="845"/>
      <c r="C35" s="845"/>
      <c r="D35" s="845"/>
      <c r="E35" s="845"/>
      <c r="F35" s="850"/>
      <c r="G35" s="850"/>
      <c r="H35" s="850"/>
      <c r="I35" s="850"/>
      <c r="J35" s="850">
        <f t="shared" si="11"/>
        <v>0</v>
      </c>
    </row>
    <row r="36" spans="1:10" x14ac:dyDescent="0.25">
      <c r="A36" s="848" t="s">
        <v>5</v>
      </c>
      <c r="B36" s="845"/>
      <c r="C36" s="845"/>
      <c r="D36" s="845"/>
      <c r="E36" s="845"/>
      <c r="F36" s="850"/>
      <c r="G36" s="850">
        <v>10759.45</v>
      </c>
      <c r="H36" s="850">
        <v>10761.5</v>
      </c>
      <c r="I36" s="850">
        <v>10760.6</v>
      </c>
      <c r="J36" s="850">
        <f>C36+D36+E36+F36+G36+H36+I36</f>
        <v>32281.550000000003</v>
      </c>
    </row>
    <row r="37" spans="1:10" x14ac:dyDescent="0.25">
      <c r="F37" s="858"/>
    </row>
    <row r="38" spans="1:10" ht="15.75" x14ac:dyDescent="0.25">
      <c r="A38" s="851"/>
      <c r="B38" s="845"/>
      <c r="C38" s="846">
        <v>2014</v>
      </c>
      <c r="D38" s="859">
        <v>2015</v>
      </c>
      <c r="E38" s="846">
        <v>2016</v>
      </c>
      <c r="F38" s="859">
        <v>2017</v>
      </c>
      <c r="G38" s="846">
        <v>2018</v>
      </c>
      <c r="H38" s="846">
        <v>2019</v>
      </c>
      <c r="I38" s="846">
        <v>2020</v>
      </c>
      <c r="J38" s="845"/>
    </row>
    <row r="39" spans="1:10" x14ac:dyDescent="0.25">
      <c r="A39" s="848" t="s">
        <v>2</v>
      </c>
      <c r="B39" s="845"/>
      <c r="C39" s="849">
        <f t="shared" ref="C39:I39" si="12">C40+C41+C42</f>
        <v>1193503.6299999999</v>
      </c>
      <c r="D39" s="849">
        <f t="shared" si="12"/>
        <v>1206554.493</v>
      </c>
      <c r="E39" s="849">
        <f t="shared" si="12"/>
        <v>1266541.0342999999</v>
      </c>
      <c r="F39" s="849">
        <f t="shared" si="12"/>
        <v>1384935.9190000002</v>
      </c>
      <c r="G39" s="849">
        <f t="shared" si="12"/>
        <v>1421271.7</v>
      </c>
      <c r="H39" s="849">
        <f t="shared" si="12"/>
        <v>1459073.33</v>
      </c>
      <c r="I39" s="849">
        <f t="shared" si="12"/>
        <v>1498521.3049999999</v>
      </c>
      <c r="J39" s="849">
        <f>J40+J41+J42</f>
        <v>9430401.4112999998</v>
      </c>
    </row>
    <row r="40" spans="1:10" x14ac:dyDescent="0.25">
      <c r="A40" s="848" t="s">
        <v>3</v>
      </c>
      <c r="B40" s="845"/>
      <c r="C40" s="850">
        <f t="shared" ref="C40:H42" si="13">C4+C10+C16+C22+C28+C34</f>
        <v>722111.5</v>
      </c>
      <c r="D40" s="850">
        <f t="shared" si="13"/>
        <v>709320.01199999999</v>
      </c>
      <c r="E40" s="850">
        <f t="shared" si="13"/>
        <v>740971.9</v>
      </c>
      <c r="F40" s="850">
        <f t="shared" si="13"/>
        <v>805784.35000000009</v>
      </c>
      <c r="G40" s="850">
        <f t="shared" si="13"/>
        <v>844041.9</v>
      </c>
      <c r="H40" s="850">
        <f t="shared" si="13"/>
        <v>877073.49</v>
      </c>
      <c r="I40" s="850">
        <f>I4+I10+I16+I22+I28+I34</f>
        <v>909645.15</v>
      </c>
      <c r="J40" s="849">
        <f t="shared" ref="J40:J41" si="14">C40+D40+E40+F40+G40+H40+I40</f>
        <v>5608948.3020000001</v>
      </c>
    </row>
    <row r="41" spans="1:10" x14ac:dyDescent="0.25">
      <c r="A41" s="848" t="s">
        <v>4</v>
      </c>
      <c r="B41" s="845"/>
      <c r="C41" s="850">
        <f t="shared" si="13"/>
        <v>0</v>
      </c>
      <c r="D41" s="850">
        <f t="shared" si="13"/>
        <v>1786.9</v>
      </c>
      <c r="E41" s="850">
        <f t="shared" si="13"/>
        <v>2386</v>
      </c>
      <c r="F41" s="850">
        <f t="shared" si="13"/>
        <v>0</v>
      </c>
      <c r="G41" s="850">
        <f t="shared" si="13"/>
        <v>0</v>
      </c>
      <c r="H41" s="850">
        <f t="shared" si="13"/>
        <v>0</v>
      </c>
      <c r="I41" s="850">
        <f>I5+I11+I17+I23+I29+I35</f>
        <v>0</v>
      </c>
      <c r="J41" s="849">
        <f t="shared" si="14"/>
        <v>4172.8999999999996</v>
      </c>
    </row>
    <row r="42" spans="1:10" x14ac:dyDescent="0.25">
      <c r="A42" s="848" t="s">
        <v>5</v>
      </c>
      <c r="B42" s="845"/>
      <c r="C42" s="849">
        <f t="shared" si="13"/>
        <v>471392.13</v>
      </c>
      <c r="D42" s="849">
        <f t="shared" si="13"/>
        <v>495447.58100000001</v>
      </c>
      <c r="E42" s="849">
        <f t="shared" si="13"/>
        <v>523183.13430000003</v>
      </c>
      <c r="F42" s="849">
        <f t="shared" si="13"/>
        <v>579151.56900000002</v>
      </c>
      <c r="G42" s="849">
        <f t="shared" si="13"/>
        <v>577229.79999999993</v>
      </c>
      <c r="H42" s="849">
        <f t="shared" si="13"/>
        <v>581999.84000000008</v>
      </c>
      <c r="I42" s="849">
        <f>I6+I12+I18+I24+I30+I36</f>
        <v>588876.15499999991</v>
      </c>
      <c r="J42" s="849">
        <f>C42+D42+E42+F42+G42+H42+I42</f>
        <v>3817280.2092999998</v>
      </c>
    </row>
    <row r="43" spans="1:10" x14ac:dyDescent="0.25">
      <c r="E43" s="876"/>
      <c r="F43" s="858">
        <v>560987.5</v>
      </c>
      <c r="G43" s="844">
        <v>593749.19999999995</v>
      </c>
      <c r="J43" s="861"/>
    </row>
    <row r="44" spans="1:10" x14ac:dyDescent="0.25">
      <c r="D44" s="860"/>
      <c r="E44" s="861" t="s">
        <v>5</v>
      </c>
      <c r="F44" s="883">
        <f>F42-F43</f>
        <v>18164.069000000018</v>
      </c>
      <c r="G44" s="883">
        <f>G42-G43</f>
        <v>-16519.400000000023</v>
      </c>
      <c r="H44" s="883"/>
      <c r="I44" s="883"/>
      <c r="J44" s="883"/>
    </row>
    <row r="45" spans="1:10" x14ac:dyDescent="0.25">
      <c r="F45" s="858">
        <v>805784.4</v>
      </c>
      <c r="G45" s="862"/>
      <c r="H45" s="862"/>
      <c r="I45" s="862"/>
    </row>
    <row r="46" spans="1:10" x14ac:dyDescent="0.25">
      <c r="E46" s="858" t="s">
        <v>3</v>
      </c>
      <c r="F46" s="883">
        <f>F40-F45</f>
        <v>-4.9999999930150807E-2</v>
      </c>
      <c r="G46" s="883"/>
      <c r="H46" s="883"/>
      <c r="I46" s="883"/>
      <c r="J46" s="883"/>
    </row>
  </sheetData>
  <pageMargins left="0.51181102362204722" right="0.11811023622047245" top="0.35433070866141736" bottom="0.35433070866141736" header="0.11811023622047245" footer="0.11811023622047245"/>
  <pageSetup paperSize="9" scale="73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L91"/>
  <sheetViews>
    <sheetView tabSelected="1" view="pageBreakPreview" zoomScale="87" zoomScaleNormal="100" zoomScaleSheetLayoutView="87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X27" sqref="X27"/>
    </sheetView>
  </sheetViews>
  <sheetFormatPr defaultColWidth="8.85546875" defaultRowHeight="12" x14ac:dyDescent="0.2"/>
  <cols>
    <col min="1" max="1" width="6.85546875" style="76" customWidth="1"/>
    <col min="2" max="2" width="36" style="78" customWidth="1"/>
    <col min="3" max="3" width="8.85546875" style="77" customWidth="1"/>
    <col min="4" max="4" width="5.7109375" style="77" hidden="1" customWidth="1"/>
    <col min="5" max="5" width="13.7109375" style="77" customWidth="1"/>
    <col min="6" max="6" width="8.42578125" style="77" customWidth="1"/>
    <col min="7" max="7" width="11.140625" style="126" customWidth="1"/>
    <col min="8" max="8" width="10.28515625" style="126" customWidth="1"/>
    <col min="9" max="9" width="9.42578125" style="79" customWidth="1"/>
    <col min="10" max="10" width="4.7109375" style="79" customWidth="1"/>
    <col min="11" max="11" width="7.5703125" style="79" customWidth="1"/>
    <col min="12" max="12" width="7.7109375" style="78" customWidth="1"/>
    <col min="13" max="13" width="8.42578125" style="77" customWidth="1"/>
    <col min="14" max="14" width="5.85546875" style="77" customWidth="1"/>
    <col min="15" max="16" width="7.7109375" style="77" customWidth="1"/>
    <col min="17" max="17" width="8.28515625" style="96" customWidth="1"/>
    <col min="18" max="18" width="5" style="96" customWidth="1"/>
    <col min="19" max="19" width="7.140625" style="96" customWidth="1"/>
    <col min="20" max="20" width="7.28515625" style="96" customWidth="1"/>
    <col min="21" max="21" width="10.85546875" style="96" customWidth="1"/>
    <col min="22" max="22" width="6.85546875" style="96" customWidth="1"/>
    <col min="23" max="23" width="15.7109375" style="96" customWidth="1"/>
    <col min="24" max="24" width="13.5703125" style="96" customWidth="1"/>
    <col min="25" max="25" width="11.28515625" style="77" customWidth="1"/>
    <col min="26" max="26" width="5.28515625" style="77" customWidth="1"/>
    <col min="27" max="27" width="9.5703125" style="77" customWidth="1"/>
    <col min="28" max="28" width="10.140625" style="77" customWidth="1"/>
    <col min="29" max="30" width="8.85546875" style="77" hidden="1" customWidth="1"/>
    <col min="31" max="31" width="11.28515625" style="77" customWidth="1"/>
    <col min="32" max="32" width="5.140625" style="77" customWidth="1"/>
    <col min="33" max="33" width="9.28515625" style="77" customWidth="1"/>
    <col min="34" max="34" width="8.85546875" style="77" customWidth="1"/>
    <col min="35" max="35" width="11.140625" style="77" customWidth="1"/>
    <col min="36" max="36" width="4.42578125" style="77" customWidth="1"/>
    <col min="37" max="37" width="9.28515625" style="77" customWidth="1"/>
    <col min="38" max="38" width="13" style="77" customWidth="1"/>
    <col min="39" max="16384" width="8.85546875" style="77"/>
  </cols>
  <sheetData>
    <row r="1" spans="1:38" ht="15" customHeight="1" x14ac:dyDescent="0.2">
      <c r="B1" s="1154" t="s">
        <v>167</v>
      </c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</row>
    <row r="2" spans="1:38" ht="27.75" customHeight="1" x14ac:dyDescent="0.3">
      <c r="B2" s="1153" t="s">
        <v>305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</row>
    <row r="3" spans="1:38" x14ac:dyDescent="0.2">
      <c r="C3" s="78"/>
      <c r="D3" s="78"/>
      <c r="E3" s="78"/>
      <c r="F3" s="78"/>
      <c r="G3" s="79"/>
      <c r="H3" s="79"/>
    </row>
    <row r="4" spans="1:38" x14ac:dyDescent="0.2">
      <c r="A4" s="1156"/>
      <c r="B4" s="1157"/>
      <c r="C4" s="1158"/>
      <c r="D4" s="78"/>
      <c r="E4" s="1152" t="s">
        <v>159</v>
      </c>
      <c r="F4" s="1152"/>
      <c r="G4" s="1152"/>
      <c r="H4" s="1152"/>
      <c r="I4" s="1152">
        <v>2014</v>
      </c>
      <c r="J4" s="1152"/>
      <c r="K4" s="1159"/>
      <c r="L4" s="1159"/>
      <c r="M4" s="1160">
        <v>2015</v>
      </c>
      <c r="N4" s="1160"/>
      <c r="O4" s="1160"/>
      <c r="P4" s="1160"/>
      <c r="Q4" s="1155">
        <v>2016</v>
      </c>
      <c r="R4" s="1155"/>
      <c r="S4" s="1155"/>
      <c r="T4" s="1155"/>
      <c r="U4" s="1155">
        <v>2017</v>
      </c>
      <c r="V4" s="1155"/>
      <c r="W4" s="1155"/>
      <c r="X4" s="1155"/>
      <c r="Y4" s="1152">
        <v>2018</v>
      </c>
      <c r="Z4" s="1152"/>
      <c r="AA4" s="1152"/>
      <c r="AB4" s="1152"/>
      <c r="AE4" s="1152">
        <v>2019</v>
      </c>
      <c r="AF4" s="1152"/>
      <c r="AG4" s="1152"/>
      <c r="AH4" s="1152"/>
      <c r="AI4" s="1152">
        <v>2020</v>
      </c>
      <c r="AJ4" s="1152"/>
      <c r="AK4" s="1152"/>
      <c r="AL4" s="1152"/>
    </row>
    <row r="5" spans="1:38" ht="24.75" thickBot="1" x14ac:dyDescent="0.25">
      <c r="A5" s="80"/>
      <c r="B5" s="81" t="s">
        <v>0</v>
      </c>
      <c r="C5" s="72" t="s">
        <v>15</v>
      </c>
      <c r="D5" s="72"/>
      <c r="E5" s="194" t="s">
        <v>148</v>
      </c>
      <c r="F5" s="195" t="s">
        <v>4</v>
      </c>
      <c r="G5" s="196" t="s">
        <v>3</v>
      </c>
      <c r="H5" s="197" t="s">
        <v>5</v>
      </c>
      <c r="I5" s="197" t="s">
        <v>148</v>
      </c>
      <c r="J5" s="198" t="s">
        <v>4</v>
      </c>
      <c r="K5" s="198" t="s">
        <v>3</v>
      </c>
      <c r="L5" s="199" t="s">
        <v>5</v>
      </c>
      <c r="M5" s="199" t="s">
        <v>148</v>
      </c>
      <c r="N5" s="199" t="s">
        <v>4</v>
      </c>
      <c r="O5" s="199" t="s">
        <v>3</v>
      </c>
      <c r="P5" s="199" t="s">
        <v>5</v>
      </c>
      <c r="Q5" s="200" t="s">
        <v>148</v>
      </c>
      <c r="R5" s="200" t="s">
        <v>4</v>
      </c>
      <c r="S5" s="200" t="s">
        <v>3</v>
      </c>
      <c r="T5" s="200" t="s">
        <v>5</v>
      </c>
      <c r="U5" s="200" t="s">
        <v>148</v>
      </c>
      <c r="V5" s="200" t="s">
        <v>4</v>
      </c>
      <c r="W5" s="200" t="s">
        <v>3</v>
      </c>
      <c r="X5" s="200" t="s">
        <v>5</v>
      </c>
      <c r="Y5" s="199" t="s">
        <v>148</v>
      </c>
      <c r="Z5" s="199" t="s">
        <v>4</v>
      </c>
      <c r="AA5" s="199" t="s">
        <v>3</v>
      </c>
      <c r="AB5" s="199" t="s">
        <v>5</v>
      </c>
      <c r="AE5" s="199" t="s">
        <v>148</v>
      </c>
      <c r="AF5" s="199" t="s">
        <v>4</v>
      </c>
      <c r="AG5" s="199" t="s">
        <v>3</v>
      </c>
      <c r="AH5" s="199" t="s">
        <v>5</v>
      </c>
      <c r="AI5" s="199" t="s">
        <v>148</v>
      </c>
      <c r="AJ5" s="199" t="s">
        <v>4</v>
      </c>
      <c r="AK5" s="199" t="s">
        <v>3</v>
      </c>
      <c r="AL5" s="199" t="s">
        <v>5</v>
      </c>
    </row>
    <row r="6" spans="1:38" ht="45" customHeight="1" x14ac:dyDescent="0.2">
      <c r="A6" s="82"/>
      <c r="B6" s="83" t="s">
        <v>311</v>
      </c>
      <c r="C6" s="84"/>
      <c r="D6" s="85"/>
      <c r="E6" s="201">
        <f t="shared" ref="E6:E12" si="0">F6+G6+H6</f>
        <v>8172173.7547900006</v>
      </c>
      <c r="F6" s="201">
        <f t="shared" ref="F6:G7" si="1">J6+N6+R6+V6+Z6+AF6+AJ6</f>
        <v>1064.5</v>
      </c>
      <c r="G6" s="201">
        <f t="shared" si="1"/>
        <v>4864374.6980300006</v>
      </c>
      <c r="H6" s="201">
        <f>L6+P6+T6+X6+AB6+AH6+AL6</f>
        <v>3306734.5567600001</v>
      </c>
      <c r="I6" s="899">
        <f>J6+K6+L6</f>
        <v>1033047.5400000002</v>
      </c>
      <c r="J6" s="899">
        <f>J7+J27+J62+J67+J79</f>
        <v>0</v>
      </c>
      <c r="K6" s="899">
        <f>K7+K27+K62+K67+K79</f>
        <v>622862.80000000016</v>
      </c>
      <c r="L6" s="899">
        <f>L7+L27+L62+L67+L79</f>
        <v>410184.74</v>
      </c>
      <c r="M6" s="899">
        <f t="shared" ref="M6:M15" si="2">N6+O6+P6</f>
        <v>1055009.76</v>
      </c>
      <c r="N6" s="899">
        <f>N7+N27+N62+N67+N79</f>
        <v>1064.5</v>
      </c>
      <c r="O6" s="899">
        <f>O7+O27+O62+O67+O79</f>
        <v>618044.10000000009</v>
      </c>
      <c r="P6" s="899">
        <f>P7+P27+P62+P67+P79</f>
        <v>435901.16</v>
      </c>
      <c r="Q6" s="899">
        <f t="shared" ref="Q6:Q12" si="3">R6+S6+T6</f>
        <v>1095664.8524100003</v>
      </c>
      <c r="R6" s="899">
        <f>R7+R27+R62+R67+R79</f>
        <v>0</v>
      </c>
      <c r="S6" s="899">
        <f>S7+S27+S62+S67+S79</f>
        <v>637626.90000000014</v>
      </c>
      <c r="T6" s="899">
        <f>T7+T27+T62+T67+T79</f>
        <v>458037.95241000003</v>
      </c>
      <c r="U6" s="201">
        <f t="shared" ref="U6:U15" si="4">V6+W6+X6</f>
        <v>1200693.2056499999</v>
      </c>
      <c r="V6" s="201">
        <f>V7+V27+V62+V67+V79</f>
        <v>0</v>
      </c>
      <c r="W6" s="201">
        <f>W7+W27+W62+W67+W79</f>
        <v>696714.65029999986</v>
      </c>
      <c r="X6" s="201">
        <f>X7+X27+X62+X67+X79</f>
        <v>503978.55534999992</v>
      </c>
      <c r="Y6" s="201">
        <f>Z6+AA6+AB6</f>
        <v>1224889.6559099997</v>
      </c>
      <c r="Z6" s="201">
        <f>Z7+Z27+Z62+Z67+Z79</f>
        <v>0</v>
      </c>
      <c r="AA6" s="201">
        <f>AA7+AA27+AA62+AA67+AA79</f>
        <v>734842.70590999979</v>
      </c>
      <c r="AB6" s="201">
        <f>AB7+AB27+AB62+AB67+AB79</f>
        <v>490046.95</v>
      </c>
      <c r="AE6" s="201">
        <f>AF6+AG6+AH6</f>
        <v>1267514.5219099999</v>
      </c>
      <c r="AF6" s="201">
        <f t="shared" ref="AF6:AG6" si="5">AF7+AF27+AF62+AF67+AF79</f>
        <v>0</v>
      </c>
      <c r="AG6" s="201">
        <f t="shared" si="5"/>
        <v>762509.38190999988</v>
      </c>
      <c r="AH6" s="201">
        <f>AH7+AH27+AH62+AH67+AH79</f>
        <v>505005.14</v>
      </c>
      <c r="AI6" s="201">
        <f>AJ6+AK6+AL6</f>
        <v>1295354.2189099998</v>
      </c>
      <c r="AJ6" s="201">
        <f t="shared" ref="AJ6:AK6" si="6">AJ7+AJ27+AJ62+AJ67+AJ79</f>
        <v>0</v>
      </c>
      <c r="AK6" s="201">
        <f t="shared" si="6"/>
        <v>791774.15990999993</v>
      </c>
      <c r="AL6" s="201">
        <f>AL7+AL27+AL62+AL67+AL79</f>
        <v>503580.05900000001</v>
      </c>
    </row>
    <row r="7" spans="1:38" ht="52.5" customHeight="1" x14ac:dyDescent="0.2">
      <c r="A7" s="839"/>
      <c r="B7" s="520" t="s">
        <v>189</v>
      </c>
      <c r="C7" s="520"/>
      <c r="D7" s="520"/>
      <c r="E7" s="201">
        <f t="shared" si="0"/>
        <v>8049757.1782200001</v>
      </c>
      <c r="F7" s="201">
        <f t="shared" si="1"/>
        <v>1064.5</v>
      </c>
      <c r="G7" s="201">
        <f t="shared" si="1"/>
        <v>4846294.7740900004</v>
      </c>
      <c r="H7" s="201">
        <f>L7+P7+T7+X7+AB7+AH7+AL7</f>
        <v>3202397.9041300002</v>
      </c>
      <c r="I7" s="899">
        <f>J7+K7+L7</f>
        <v>1019995.7000000001</v>
      </c>
      <c r="J7" s="899">
        <f>J8</f>
        <v>0</v>
      </c>
      <c r="K7" s="899">
        <f>K8</f>
        <v>620855.50000000012</v>
      </c>
      <c r="L7" s="899">
        <f>L8</f>
        <v>399140.19999999995</v>
      </c>
      <c r="M7" s="886">
        <f t="shared" si="2"/>
        <v>1045055.2000000001</v>
      </c>
      <c r="N7" s="899">
        <f>N8</f>
        <v>1064.5</v>
      </c>
      <c r="O7" s="899">
        <f>O8</f>
        <v>614665.70000000007</v>
      </c>
      <c r="P7" s="899">
        <f>P8</f>
        <v>429325</v>
      </c>
      <c r="Q7" s="886">
        <f t="shared" si="3"/>
        <v>1086630.3876500002</v>
      </c>
      <c r="R7" s="899">
        <f>R8</f>
        <v>0</v>
      </c>
      <c r="S7" s="899">
        <f>S8</f>
        <v>635605.60000000009</v>
      </c>
      <c r="T7" s="899">
        <f>T8</f>
        <v>451024.78765000001</v>
      </c>
      <c r="U7" s="840">
        <f t="shared" si="4"/>
        <v>1178807.2277799998</v>
      </c>
      <c r="V7" s="201">
        <f>V8</f>
        <v>0</v>
      </c>
      <c r="W7" s="201">
        <f>W8</f>
        <v>694385.96029999992</v>
      </c>
      <c r="X7" s="201">
        <f>X8</f>
        <v>484421.26747999998</v>
      </c>
      <c r="Y7" s="840">
        <f>Z7+AA7+AB7</f>
        <v>1202191.67193</v>
      </c>
      <c r="Z7" s="201">
        <f>Z8</f>
        <v>0</v>
      </c>
      <c r="AA7" s="201">
        <f>AA8</f>
        <v>732053.22192999988</v>
      </c>
      <c r="AB7" s="201">
        <f>AB8</f>
        <v>470138.45</v>
      </c>
      <c r="AC7" s="818"/>
      <c r="AD7" s="818"/>
      <c r="AE7" s="841">
        <f>AF7+AG7+AH7</f>
        <v>1244668.6469299998</v>
      </c>
      <c r="AF7" s="201">
        <f t="shared" ref="AF7:AG7" si="7">AF8</f>
        <v>0</v>
      </c>
      <c r="AG7" s="201">
        <f t="shared" si="7"/>
        <v>759732.00692999992</v>
      </c>
      <c r="AH7" s="201">
        <f>AH8</f>
        <v>484936.64</v>
      </c>
      <c r="AI7" s="841">
        <f>AJ7+AK7+AL7</f>
        <v>1272408.34393</v>
      </c>
      <c r="AJ7" s="201">
        <f t="shared" ref="AJ7:AK7" si="8">AJ8</f>
        <v>0</v>
      </c>
      <c r="AK7" s="201">
        <f t="shared" si="8"/>
        <v>788996.78492999997</v>
      </c>
      <c r="AL7" s="201">
        <f>AL8</f>
        <v>483411.55900000001</v>
      </c>
    </row>
    <row r="8" spans="1:38" ht="48" x14ac:dyDescent="0.2">
      <c r="A8" s="86" t="s">
        <v>188</v>
      </c>
      <c r="B8" s="87" t="s">
        <v>254</v>
      </c>
      <c r="C8" s="88"/>
      <c r="D8" s="88"/>
      <c r="E8" s="203">
        <f>F8+G8+H8</f>
        <v>8010255.0782199996</v>
      </c>
      <c r="F8" s="203">
        <f>F9+F10+F11+F12+F24+F25+F13+F17+F23+F22</f>
        <v>1064.5</v>
      </c>
      <c r="G8" s="203">
        <f>G9+G10+G11+G12+G24+G25+G13+G17+G23+G22</f>
        <v>4846294.7740899995</v>
      </c>
      <c r="H8" s="203">
        <f>H9+H10+H11+H12+H24+H25+H13+H17+H23+H22</f>
        <v>3162895.8041300001</v>
      </c>
      <c r="I8" s="900">
        <f>J8+K8+L8</f>
        <v>1019995.7000000001</v>
      </c>
      <c r="J8" s="900">
        <f>J9+J10+J11+J12+J24+J25+J13+J17+J23+J22</f>
        <v>0</v>
      </c>
      <c r="K8" s="900">
        <f>K9+K10+K11+K12+K24+K25+K13+K17+K23+K22</f>
        <v>620855.50000000012</v>
      </c>
      <c r="L8" s="900">
        <f>L9+L10+L11+L12+L24+L25+L13+L17+L23+L22</f>
        <v>399140.19999999995</v>
      </c>
      <c r="M8" s="887">
        <f t="shared" si="2"/>
        <v>1045055.2000000001</v>
      </c>
      <c r="N8" s="900">
        <f>N9+N10+N11+N12+N24+N25+N13+N17+N23+N22</f>
        <v>1064.5</v>
      </c>
      <c r="O8" s="900">
        <f>O9+O10+O11+O12+O24+O25+O13+O17+O23+O22</f>
        <v>614665.70000000007</v>
      </c>
      <c r="P8" s="900">
        <f>P9+P10+P11+P12+P24+P25+P13+P17+P23+P22</f>
        <v>429325</v>
      </c>
      <c r="Q8" s="887">
        <f>R8+S8+T8</f>
        <v>1086630.3876500002</v>
      </c>
      <c r="R8" s="900">
        <f>R9+R10+R11+R12+R24+R25+R13+R17+R23+R22</f>
        <v>0</v>
      </c>
      <c r="S8" s="900">
        <f>S9+S10+S11+S12+S24+S25+S13+S17+S23+S22</f>
        <v>635605.60000000009</v>
      </c>
      <c r="T8" s="900">
        <f>T9+T10+T11+T12+T24+T25+T13+T17+T23+T22</f>
        <v>451024.78765000001</v>
      </c>
      <c r="U8" s="837">
        <f t="shared" si="4"/>
        <v>1178807.2277799998</v>
      </c>
      <c r="V8" s="203">
        <f>V9+V10+V11+V12+V24+V25+V13+V17+V23+V22</f>
        <v>0</v>
      </c>
      <c r="W8" s="203">
        <f>W9+W10+W11+W12+W24+W25+W13+W17+W23+W22+W26</f>
        <v>694385.96029999992</v>
      </c>
      <c r="X8" s="203">
        <f>X9+X10+X11+X12+X24+X25+X13+X17+X23+X22+X26</f>
        <v>484421.26747999998</v>
      </c>
      <c r="Y8" s="837">
        <f>Z8+AA8+AB8</f>
        <v>1202191.67193</v>
      </c>
      <c r="Z8" s="203">
        <f>Z9+Z10+Z11+Z12+Z24+Z25+Z13+Z17+Z23+Z22</f>
        <v>0</v>
      </c>
      <c r="AA8" s="203">
        <f>AA9+AA10+AA11+AA12+AA24+AA25+AA13+AA17+AA23+AA22</f>
        <v>732053.22192999988</v>
      </c>
      <c r="AB8" s="203">
        <f>AB9+AB10+AB11+AB12+AB24+AB25+AB13+AB17+AB23+AB22+AB26</f>
        <v>470138.45</v>
      </c>
      <c r="AC8" s="814"/>
      <c r="AD8" s="814"/>
      <c r="AE8" s="838">
        <f>AF8+AG8+AH8</f>
        <v>1244668.6469299998</v>
      </c>
      <c r="AF8" s="203">
        <f t="shared" ref="AF8" si="9">AF9+AF10+AF11+AF12+AF24+AF25+AF13+AF17+AF23+AF22</f>
        <v>0</v>
      </c>
      <c r="AG8" s="203">
        <f>AG9+AG10+AG11+AG12+AG24+AG25+AG13+AG17+AG23+AG22+AG26</f>
        <v>759732.00692999992</v>
      </c>
      <c r="AH8" s="203">
        <f>AH9+AH10+AH11+AH12+AH24+AH25+AH13+AH17+AH23+AH22+AH26</f>
        <v>484936.64</v>
      </c>
      <c r="AI8" s="838">
        <f>AJ8+AK8+AL8</f>
        <v>1272408.34393</v>
      </c>
      <c r="AJ8" s="953">
        <f t="shared" ref="AJ8:AK8" si="10">AJ9+AJ10+AJ11+AJ12+AJ24+AJ25+AJ13+AJ17+AJ23+AJ22+AJ26</f>
        <v>0</v>
      </c>
      <c r="AK8" s="953">
        <f t="shared" si="10"/>
        <v>788996.78492999997</v>
      </c>
      <c r="AL8" s="203">
        <f>AL9+AL10+AL11+AL12+AL24+AL25+AL13+AL17+AL23+AL22+AL26</f>
        <v>483411.55900000001</v>
      </c>
    </row>
    <row r="9" spans="1:38" s="78" customFormat="1" ht="60" x14ac:dyDescent="0.2">
      <c r="A9" s="89" t="s">
        <v>6</v>
      </c>
      <c r="B9" s="90" t="s">
        <v>331</v>
      </c>
      <c r="C9" s="90" t="s">
        <v>329</v>
      </c>
      <c r="D9" s="90"/>
      <c r="E9" s="204">
        <f t="shared" si="0"/>
        <v>3462306.2033700002</v>
      </c>
      <c r="F9" s="206">
        <f t="shared" ref="F9:G9" si="11">J9+N9+R9+V9+Z9+AF9+AJ9</f>
        <v>0</v>
      </c>
      <c r="G9" s="206">
        <f t="shared" si="11"/>
        <v>2583579.6</v>
      </c>
      <c r="H9" s="206">
        <f>L9+P9+T9+X9+AB9+AH9+AL9</f>
        <v>878726.60336999991</v>
      </c>
      <c r="I9" s="901">
        <f>J9+K9+L9</f>
        <v>439441.80000000005</v>
      </c>
      <c r="J9" s="902"/>
      <c r="K9" s="902">
        <v>336360.9</v>
      </c>
      <c r="L9" s="902">
        <v>103080.9</v>
      </c>
      <c r="M9" s="889">
        <f t="shared" si="2"/>
        <v>454624.4</v>
      </c>
      <c r="N9" s="890"/>
      <c r="O9" s="890">
        <v>340243.5</v>
      </c>
      <c r="P9" s="890">
        <v>114380.9</v>
      </c>
      <c r="Q9" s="889">
        <f t="shared" si="3"/>
        <v>475258.55699999997</v>
      </c>
      <c r="R9" s="889"/>
      <c r="S9" s="889">
        <v>346407.8</v>
      </c>
      <c r="T9" s="891">
        <v>128850.757</v>
      </c>
      <c r="U9" s="209">
        <f t="shared" si="4"/>
        <v>513095.14636999997</v>
      </c>
      <c r="V9" s="209"/>
      <c r="W9" s="209">
        <v>371701.8</v>
      </c>
      <c r="X9" s="1143">
        <f>132131.44637+9261.9</f>
        <v>141393.34636999998</v>
      </c>
      <c r="Y9" s="209">
        <f t="shared" ref="Y9:Y26" si="12">Z9+AA9+AB9</f>
        <v>509042.4</v>
      </c>
      <c r="Z9" s="210"/>
      <c r="AA9" s="210">
        <v>383977.7</v>
      </c>
      <c r="AB9" s="209">
        <f>125064.7+7913.3-7913.3</f>
        <v>125064.7</v>
      </c>
      <c r="AC9" s="96"/>
      <c r="AD9" s="96"/>
      <c r="AE9" s="1081">
        <f>AF9+AG9+AH9</f>
        <v>529058</v>
      </c>
      <c r="AF9" s="1081"/>
      <c r="AG9" s="1081">
        <v>396080</v>
      </c>
      <c r="AH9" s="1081">
        <v>132978</v>
      </c>
      <c r="AI9" s="1081">
        <f>AJ9+AK9+AL9</f>
        <v>541785.9</v>
      </c>
      <c r="AJ9" s="1081"/>
      <c r="AK9" s="1081">
        <v>408807.9</v>
      </c>
      <c r="AL9" s="1081">
        <v>132978</v>
      </c>
    </row>
    <row r="10" spans="1:38" s="78" customFormat="1" ht="36" x14ac:dyDescent="0.2">
      <c r="A10" s="94" t="s">
        <v>8</v>
      </c>
      <c r="B10" s="74" t="s">
        <v>259</v>
      </c>
      <c r="C10" s="74" t="s">
        <v>330</v>
      </c>
      <c r="D10" s="74"/>
      <c r="E10" s="205">
        <f t="shared" si="0"/>
        <v>3443879.7525599999</v>
      </c>
      <c r="F10" s="206">
        <f t="shared" ref="F10:F12" si="13">J10+N10+R10+V10+Z10+AF10</f>
        <v>0</v>
      </c>
      <c r="G10" s="206">
        <f>K10+O10+S10+W10+AA10+AG10+AK10</f>
        <v>1915855.2029999997</v>
      </c>
      <c r="H10" s="206">
        <f>L10+P10+T10+X10+AB10+AH10+AL10</f>
        <v>1528024.5495600002</v>
      </c>
      <c r="I10" s="903">
        <f t="shared" ref="I10:I17" si="14">J10+K10+L10</f>
        <v>431823.5</v>
      </c>
      <c r="J10" s="904"/>
      <c r="K10" s="904">
        <v>244116.6</v>
      </c>
      <c r="L10" s="904">
        <v>187706.9</v>
      </c>
      <c r="M10" s="893">
        <f t="shared" si="2"/>
        <v>445829.1</v>
      </c>
      <c r="N10" s="893"/>
      <c r="O10" s="893">
        <v>242699.5</v>
      </c>
      <c r="P10" s="893">
        <v>203129.60000000001</v>
      </c>
      <c r="Q10" s="889">
        <f t="shared" si="3"/>
        <v>458629.75044999999</v>
      </c>
      <c r="R10" s="889"/>
      <c r="S10" s="889">
        <v>247086.3</v>
      </c>
      <c r="T10" s="889">
        <v>211543.45045</v>
      </c>
      <c r="U10" s="209">
        <f t="shared" si="4"/>
        <v>487915.33811000001</v>
      </c>
      <c r="V10" s="209"/>
      <c r="W10" s="209">
        <v>265109.40299999999</v>
      </c>
      <c r="X10" s="1143">
        <f>215896.43511+6909.5</f>
        <v>222805.93510999999</v>
      </c>
      <c r="Y10" s="209">
        <f t="shared" si="12"/>
        <v>521530.7</v>
      </c>
      <c r="Z10" s="210"/>
      <c r="AA10" s="210">
        <f>283714.5+7811</f>
        <v>291525.5</v>
      </c>
      <c r="AB10" s="1094">
        <f>230005.2+6550.5-6550.5</f>
        <v>230005.2</v>
      </c>
      <c r="AC10" s="96"/>
      <c r="AD10" s="96"/>
      <c r="AE10" s="1081">
        <f t="shared" ref="AE10:AE27" si="15">AF10+AG10+AH10</f>
        <v>541551.68200000003</v>
      </c>
      <c r="AF10" s="467"/>
      <c r="AG10" s="467">
        <f>297185.7+8123.3</f>
        <v>305309</v>
      </c>
      <c r="AH10" s="1081">
        <v>236242.682</v>
      </c>
      <c r="AI10" s="1081">
        <f t="shared" ref="AI10:AI26" si="16">AJ10+AK10+AL10</f>
        <v>556599.68200000003</v>
      </c>
      <c r="AJ10" s="1081"/>
      <c r="AK10" s="1081">
        <f>311557.6+8451.3</f>
        <v>320008.89999999997</v>
      </c>
      <c r="AL10" s="1081">
        <v>236590.78200000001</v>
      </c>
    </row>
    <row r="11" spans="1:38" s="78" customFormat="1" ht="41.25" customHeight="1" x14ac:dyDescent="0.2">
      <c r="A11" s="94" t="s">
        <v>52</v>
      </c>
      <c r="B11" s="74" t="s">
        <v>260</v>
      </c>
      <c r="C11" s="74" t="s">
        <v>329</v>
      </c>
      <c r="D11" s="74"/>
      <c r="E11" s="205">
        <f t="shared" si="0"/>
        <v>973142.52272000001</v>
      </c>
      <c r="F11" s="206">
        <f t="shared" si="13"/>
        <v>0</v>
      </c>
      <c r="G11" s="206">
        <f t="shared" ref="G11:H26" si="17">K11+O11+S11+W11+AA11+AG11+AK11</f>
        <v>228300.35499999998</v>
      </c>
      <c r="H11" s="206">
        <f t="shared" si="17"/>
        <v>744842.16772000003</v>
      </c>
      <c r="I11" s="903">
        <f t="shared" si="14"/>
        <v>122137.4</v>
      </c>
      <c r="J11" s="904"/>
      <c r="K11" s="904">
        <v>16516.599999999999</v>
      </c>
      <c r="L11" s="904">
        <v>105620.8</v>
      </c>
      <c r="M11" s="893">
        <f t="shared" si="2"/>
        <v>125624.2</v>
      </c>
      <c r="N11" s="893"/>
      <c r="O11" s="893">
        <v>15618</v>
      </c>
      <c r="P11" s="893">
        <v>110006.2</v>
      </c>
      <c r="Q11" s="893">
        <f t="shared" si="3"/>
        <v>130900.09672</v>
      </c>
      <c r="R11" s="893"/>
      <c r="S11" s="893">
        <v>21381.9</v>
      </c>
      <c r="T11" s="893">
        <v>109518.19672000001</v>
      </c>
      <c r="U11" s="209">
        <f t="shared" si="4"/>
        <v>150624.19300000003</v>
      </c>
      <c r="V11" s="210"/>
      <c r="W11" s="1150">
        <v>43510.607000000004</v>
      </c>
      <c r="X11" s="211">
        <f>104891.486+2222.1</f>
        <v>107113.58600000001</v>
      </c>
      <c r="Y11" s="209">
        <f t="shared" si="12"/>
        <v>146337.35</v>
      </c>
      <c r="Z11" s="210"/>
      <c r="AA11" s="209">
        <v>41950.1</v>
      </c>
      <c r="AB11" s="1094">
        <f>115046.7+2055.6-10659.45-2055.6</f>
        <v>104387.25</v>
      </c>
      <c r="AC11" s="1095" t="s">
        <v>320</v>
      </c>
      <c r="AD11" s="1095"/>
      <c r="AE11" s="1081">
        <f t="shared" si="15"/>
        <v>148777.74299999999</v>
      </c>
      <c r="AF11" s="467"/>
      <c r="AG11" s="467">
        <v>43743.084999999999</v>
      </c>
      <c r="AH11" s="467">
        <f>115696.158-10661.5</f>
        <v>105034.658</v>
      </c>
      <c r="AI11" s="1081">
        <f t="shared" si="16"/>
        <v>148741.54</v>
      </c>
      <c r="AJ11" s="1081"/>
      <c r="AK11" s="1081">
        <v>45580.063000000002</v>
      </c>
      <c r="AL11" s="1144">
        <f>113822.077-10660.6</f>
        <v>103161.477</v>
      </c>
    </row>
    <row r="12" spans="1:38" s="78" customFormat="1" ht="36" x14ac:dyDescent="0.2">
      <c r="A12" s="89" t="s">
        <v>206</v>
      </c>
      <c r="B12" s="91" t="s">
        <v>207</v>
      </c>
      <c r="C12" s="91" t="s">
        <v>330</v>
      </c>
      <c r="D12" s="91"/>
      <c r="E12" s="206">
        <f t="shared" si="0"/>
        <v>14278.8</v>
      </c>
      <c r="F12" s="206">
        <f t="shared" si="13"/>
        <v>0</v>
      </c>
      <c r="G12" s="206">
        <f t="shared" si="17"/>
        <v>14278.8</v>
      </c>
      <c r="H12" s="206">
        <f t="shared" si="17"/>
        <v>0</v>
      </c>
      <c r="I12" s="901">
        <f t="shared" si="14"/>
        <v>3930</v>
      </c>
      <c r="J12" s="902"/>
      <c r="K12" s="902">
        <v>3930</v>
      </c>
      <c r="L12" s="902"/>
      <c r="M12" s="889">
        <f t="shared" si="2"/>
        <v>3418.4</v>
      </c>
      <c r="N12" s="890"/>
      <c r="O12" s="890">
        <v>3418.4</v>
      </c>
      <c r="P12" s="890"/>
      <c r="Q12" s="893">
        <f t="shared" si="3"/>
        <v>6930.4</v>
      </c>
      <c r="R12" s="893"/>
      <c r="S12" s="893">
        <v>6930.4</v>
      </c>
      <c r="T12" s="893"/>
      <c r="U12" s="210">
        <f t="shared" si="4"/>
        <v>0</v>
      </c>
      <c r="V12" s="209"/>
      <c r="W12" s="209">
        <v>0</v>
      </c>
      <c r="X12" s="1123"/>
      <c r="Y12" s="209">
        <f t="shared" si="12"/>
        <v>0</v>
      </c>
      <c r="Z12" s="210"/>
      <c r="AA12" s="209">
        <v>0</v>
      </c>
      <c r="AB12" s="209"/>
      <c r="AC12" s="96"/>
      <c r="AD12" s="96"/>
      <c r="AE12" s="1081">
        <f t="shared" si="15"/>
        <v>0</v>
      </c>
      <c r="AF12" s="467"/>
      <c r="AG12" s="1081">
        <v>0</v>
      </c>
      <c r="AH12" s="467"/>
      <c r="AI12" s="1081">
        <f t="shared" si="16"/>
        <v>0</v>
      </c>
      <c r="AJ12" s="1081"/>
      <c r="AK12" s="1081"/>
      <c r="AL12" s="1081"/>
    </row>
    <row r="13" spans="1:38" s="78" customFormat="1" ht="60.75" customHeight="1" x14ac:dyDescent="0.2">
      <c r="A13" s="89" t="s">
        <v>208</v>
      </c>
      <c r="B13" s="875" t="s">
        <v>261</v>
      </c>
      <c r="C13" s="90"/>
      <c r="D13" s="92" t="s">
        <v>7</v>
      </c>
      <c r="E13" s="206">
        <f>F13+G13+H13</f>
        <v>5776</v>
      </c>
      <c r="F13" s="206">
        <f t="shared" ref="F13:F17" si="18">J13+N13+R13+V13+Z13+AF13+AJ13</f>
        <v>1064.5</v>
      </c>
      <c r="G13" s="206">
        <f t="shared" si="17"/>
        <v>2826.5</v>
      </c>
      <c r="H13" s="206">
        <f t="shared" si="17"/>
        <v>1885</v>
      </c>
      <c r="I13" s="901">
        <f>J13+K13+L13</f>
        <v>2276.5</v>
      </c>
      <c r="J13" s="902">
        <f>J14+J15</f>
        <v>0</v>
      </c>
      <c r="K13" s="902">
        <f>K14+K15</f>
        <v>1326.5</v>
      </c>
      <c r="L13" s="902">
        <f>L14+L15</f>
        <v>950</v>
      </c>
      <c r="M13" s="901">
        <f t="shared" si="2"/>
        <v>1564.5</v>
      </c>
      <c r="N13" s="902">
        <f>N14+N15</f>
        <v>1064.5</v>
      </c>
      <c r="O13" s="902">
        <f>O14+O15</f>
        <v>0</v>
      </c>
      <c r="P13" s="902">
        <f>P14+P15</f>
        <v>500</v>
      </c>
      <c r="Q13" s="903">
        <f>R13+S13+T13</f>
        <v>25</v>
      </c>
      <c r="R13" s="904">
        <f>R14+R15</f>
        <v>0</v>
      </c>
      <c r="S13" s="904">
        <f>S14+S15</f>
        <v>0</v>
      </c>
      <c r="T13" s="904">
        <f>T14+T15+T16</f>
        <v>25</v>
      </c>
      <c r="U13" s="209">
        <f t="shared" si="4"/>
        <v>1910</v>
      </c>
      <c r="V13" s="212">
        <f>V14+V15</f>
        <v>0</v>
      </c>
      <c r="W13" s="212">
        <f>W14</f>
        <v>1500</v>
      </c>
      <c r="X13" s="212">
        <f>X14+X16</f>
        <v>410</v>
      </c>
      <c r="Y13" s="205">
        <f>Z13+AA13+AB13</f>
        <v>0</v>
      </c>
      <c r="Z13" s="205">
        <f>Z14+Z15</f>
        <v>0</v>
      </c>
      <c r="AA13" s="212"/>
      <c r="AB13" s="205"/>
      <c r="AC13" s="96"/>
      <c r="AD13" s="96"/>
      <c r="AE13" s="1081">
        <f t="shared" si="15"/>
        <v>0</v>
      </c>
      <c r="AF13" s="467"/>
      <c r="AG13" s="467"/>
      <c r="AH13" s="1081"/>
      <c r="AI13" s="1081">
        <f t="shared" si="16"/>
        <v>0</v>
      </c>
      <c r="AJ13" s="1081"/>
      <c r="AK13" s="1081"/>
      <c r="AL13" s="1081"/>
    </row>
    <row r="14" spans="1:38" ht="78" customHeight="1" x14ac:dyDescent="0.2">
      <c r="A14" s="819"/>
      <c r="B14" s="821" t="s">
        <v>12</v>
      </c>
      <c r="C14" s="108" t="s">
        <v>602</v>
      </c>
      <c r="D14" s="820" t="s">
        <v>7</v>
      </c>
      <c r="E14" s="204">
        <f>F14+G14+H14</f>
        <v>5721</v>
      </c>
      <c r="F14" s="206">
        <f t="shared" si="18"/>
        <v>1064.5</v>
      </c>
      <c r="G14" s="206">
        <f t="shared" si="17"/>
        <v>2826.5</v>
      </c>
      <c r="H14" s="206">
        <f t="shared" si="17"/>
        <v>1830</v>
      </c>
      <c r="I14" s="901">
        <f t="shared" si="14"/>
        <v>2276.5</v>
      </c>
      <c r="J14" s="905"/>
      <c r="K14" s="905">
        <v>1326.5</v>
      </c>
      <c r="L14" s="895">
        <v>950</v>
      </c>
      <c r="M14" s="889">
        <f t="shared" si="2"/>
        <v>1564.5</v>
      </c>
      <c r="N14" s="889">
        <v>1064.5</v>
      </c>
      <c r="O14" s="889"/>
      <c r="P14" s="889">
        <v>500</v>
      </c>
      <c r="Q14" s="889">
        <f>R14+S14+T14</f>
        <v>0</v>
      </c>
      <c r="R14" s="889"/>
      <c r="S14" s="889"/>
      <c r="T14" s="889"/>
      <c r="U14" s="207">
        <f t="shared" si="4"/>
        <v>1880</v>
      </c>
      <c r="V14" s="207"/>
      <c r="W14" s="207">
        <v>1500</v>
      </c>
      <c r="X14" s="870">
        <v>380</v>
      </c>
      <c r="Y14" s="207">
        <f t="shared" si="12"/>
        <v>0</v>
      </c>
      <c r="Z14" s="233"/>
      <c r="AA14" s="231"/>
      <c r="AB14" s="214"/>
      <c r="AE14" s="691">
        <f t="shared" si="15"/>
        <v>0</v>
      </c>
      <c r="AF14" s="699"/>
      <c r="AG14" s="699"/>
      <c r="AH14" s="699"/>
      <c r="AI14" s="954">
        <f t="shared" si="16"/>
        <v>0</v>
      </c>
      <c r="AJ14" s="955"/>
      <c r="AK14" s="955"/>
      <c r="AL14" s="955"/>
    </row>
    <row r="15" spans="1:38" ht="36" x14ac:dyDescent="0.2">
      <c r="A15" s="89"/>
      <c r="B15" s="93" t="s">
        <v>116</v>
      </c>
      <c r="C15" s="90" t="s">
        <v>117</v>
      </c>
      <c r="D15" s="92" t="s">
        <v>7</v>
      </c>
      <c r="E15" s="206">
        <f>F15+G15+H15</f>
        <v>0</v>
      </c>
      <c r="F15" s="206">
        <f t="shared" si="18"/>
        <v>0</v>
      </c>
      <c r="G15" s="206">
        <f t="shared" si="17"/>
        <v>0</v>
      </c>
      <c r="H15" s="206">
        <f t="shared" si="17"/>
        <v>0</v>
      </c>
      <c r="I15" s="901">
        <f t="shared" si="14"/>
        <v>0</v>
      </c>
      <c r="J15" s="906"/>
      <c r="K15" s="907"/>
      <c r="L15" s="908"/>
      <c r="M15" s="890">
        <f t="shared" si="2"/>
        <v>0</v>
      </c>
      <c r="N15" s="890"/>
      <c r="O15" s="890"/>
      <c r="P15" s="890"/>
      <c r="Q15" s="893">
        <f t="shared" ref="Q15:Q23" si="19">R15+S15+T15</f>
        <v>0</v>
      </c>
      <c r="R15" s="893"/>
      <c r="S15" s="893"/>
      <c r="T15" s="893"/>
      <c r="U15" s="210">
        <f t="shared" si="4"/>
        <v>0</v>
      </c>
      <c r="V15" s="209"/>
      <c r="W15" s="209"/>
      <c r="X15" s="211"/>
      <c r="Y15" s="208">
        <f t="shared" si="12"/>
        <v>0</v>
      </c>
      <c r="Z15" s="214"/>
      <c r="AA15" s="215"/>
      <c r="AB15" s="214"/>
      <c r="AE15" s="691">
        <f t="shared" si="15"/>
        <v>0</v>
      </c>
      <c r="AF15" s="699"/>
      <c r="AG15" s="699"/>
      <c r="AH15" s="699"/>
      <c r="AI15" s="954">
        <f t="shared" si="16"/>
        <v>0</v>
      </c>
      <c r="AJ15" s="942"/>
      <c r="AK15" s="942"/>
      <c r="AL15" s="942"/>
    </row>
    <row r="16" spans="1:38" ht="44.45" customHeight="1" x14ac:dyDescent="0.2">
      <c r="A16" s="89"/>
      <c r="B16" s="160" t="s">
        <v>335</v>
      </c>
      <c r="C16" s="90" t="s">
        <v>33</v>
      </c>
      <c r="D16" s="290"/>
      <c r="E16" s="206">
        <f>F16+G16+H16</f>
        <v>55</v>
      </c>
      <c r="F16" s="206">
        <f t="shared" si="18"/>
        <v>0</v>
      </c>
      <c r="G16" s="206">
        <f t="shared" si="17"/>
        <v>0</v>
      </c>
      <c r="H16" s="206">
        <f t="shared" si="17"/>
        <v>55</v>
      </c>
      <c r="I16" s="901"/>
      <c r="J16" s="906"/>
      <c r="K16" s="907"/>
      <c r="L16" s="908"/>
      <c r="M16" s="890"/>
      <c r="N16" s="890"/>
      <c r="O16" s="890"/>
      <c r="P16" s="890"/>
      <c r="Q16" s="893">
        <f>R16+S16+T16</f>
        <v>25</v>
      </c>
      <c r="R16" s="893"/>
      <c r="S16" s="893"/>
      <c r="T16" s="893">
        <v>25</v>
      </c>
      <c r="U16" s="209">
        <f>V16+W16+X16</f>
        <v>30</v>
      </c>
      <c r="V16" s="209"/>
      <c r="W16" s="209"/>
      <c r="X16" s="211">
        <v>30</v>
      </c>
      <c r="Y16" s="208">
        <v>0</v>
      </c>
      <c r="Z16" s="291"/>
      <c r="AA16" s="215"/>
      <c r="AB16" s="214"/>
      <c r="AE16" s="691">
        <f t="shared" si="15"/>
        <v>0</v>
      </c>
      <c r="AF16" s="699"/>
      <c r="AG16" s="699"/>
      <c r="AH16" s="699"/>
      <c r="AI16" s="954">
        <f t="shared" si="16"/>
        <v>0</v>
      </c>
      <c r="AJ16" s="942"/>
      <c r="AK16" s="942"/>
      <c r="AL16" s="942"/>
    </row>
    <row r="17" spans="1:38" ht="46.5" customHeight="1" x14ac:dyDescent="0.2">
      <c r="A17" s="94" t="s">
        <v>210</v>
      </c>
      <c r="B17" s="95" t="s">
        <v>42</v>
      </c>
      <c r="C17" s="95" t="s">
        <v>45</v>
      </c>
      <c r="D17" s="96"/>
      <c r="E17" s="205">
        <f>F17+G17+H17</f>
        <v>15668.499570000002</v>
      </c>
      <c r="F17" s="206">
        <f t="shared" si="18"/>
        <v>0</v>
      </c>
      <c r="G17" s="206">
        <f t="shared" si="17"/>
        <v>6251.016090000001</v>
      </c>
      <c r="H17" s="206">
        <f t="shared" si="17"/>
        <v>9417.4834800000008</v>
      </c>
      <c r="I17" s="903">
        <f t="shared" si="14"/>
        <v>3334.5</v>
      </c>
      <c r="J17" s="904"/>
      <c r="K17" s="904">
        <v>1552.9</v>
      </c>
      <c r="L17" s="904">
        <f>L19+L20</f>
        <v>1781.6</v>
      </c>
      <c r="M17" s="893">
        <f>N17+O17+P17</f>
        <v>2650.3</v>
      </c>
      <c r="N17" s="893"/>
      <c r="O17" s="893">
        <v>1342</v>
      </c>
      <c r="P17" s="893">
        <v>1308.3</v>
      </c>
      <c r="Q17" s="893">
        <f t="shared" si="19"/>
        <v>2480.1834799999997</v>
      </c>
      <c r="R17" s="893"/>
      <c r="S17" s="893">
        <f>S19+S20</f>
        <v>1392.8</v>
      </c>
      <c r="T17" s="893">
        <f>T19</f>
        <v>1087.38348</v>
      </c>
      <c r="U17" s="207">
        <f t="shared" ref="U17:U28" si="20">V17+W17+X17</f>
        <v>1791.7502999999999</v>
      </c>
      <c r="V17" s="227"/>
      <c r="W17" s="703">
        <f>W19+W20</f>
        <v>485.45030000000003</v>
      </c>
      <c r="X17" s="703">
        <f>X19+X20</f>
        <v>1306.3</v>
      </c>
      <c r="Y17" s="207">
        <f t="shared" si="12"/>
        <v>1803.92193</v>
      </c>
      <c r="Z17" s="706">
        <f>Z19+Z20</f>
        <v>0</v>
      </c>
      <c r="AA17" s="207">
        <v>492.62193000000002</v>
      </c>
      <c r="AB17" s="227">
        <f>AB19+AB20</f>
        <v>1311.3</v>
      </c>
      <c r="AC17" s="124"/>
      <c r="AD17" s="124"/>
      <c r="AE17" s="704">
        <f t="shared" si="15"/>
        <v>1803.92193</v>
      </c>
      <c r="AF17" s="688"/>
      <c r="AG17" s="222">
        <v>492.62193000000002</v>
      </c>
      <c r="AH17" s="227">
        <f>AH19+AH20+AH21</f>
        <v>1311.3</v>
      </c>
      <c r="AI17" s="704">
        <f t="shared" si="16"/>
        <v>1803.92193</v>
      </c>
      <c r="AJ17" s="1106"/>
      <c r="AK17" s="708">
        <v>492.62193000000002</v>
      </c>
      <c r="AL17" s="700">
        <f>AL18+AL19</f>
        <v>1311.3</v>
      </c>
    </row>
    <row r="18" spans="1:38" ht="12.75" customHeight="1" x14ac:dyDescent="0.2">
      <c r="A18" s="94"/>
      <c r="B18" s="97" t="s">
        <v>73</v>
      </c>
      <c r="C18" s="74"/>
      <c r="D18" s="92" t="s">
        <v>7</v>
      </c>
      <c r="E18" s="205"/>
      <c r="F18" s="205">
        <f t="shared" ref="F18" si="21">J18+N18+R18+V18</f>
        <v>0</v>
      </c>
      <c r="G18" s="206">
        <f t="shared" ref="G18" si="22">K18+O18+S18+W18+AA18</f>
        <v>0</v>
      </c>
      <c r="H18" s="206">
        <f t="shared" si="17"/>
        <v>0</v>
      </c>
      <c r="I18" s="903"/>
      <c r="J18" s="904"/>
      <c r="K18" s="904"/>
      <c r="L18" s="904"/>
      <c r="M18" s="893"/>
      <c r="N18" s="893"/>
      <c r="O18" s="893"/>
      <c r="P18" s="893"/>
      <c r="Q18" s="893">
        <f t="shared" si="19"/>
        <v>0</v>
      </c>
      <c r="R18" s="893"/>
      <c r="S18" s="893"/>
      <c r="T18" s="893"/>
      <c r="U18" s="207">
        <f t="shared" si="20"/>
        <v>0</v>
      </c>
      <c r="V18" s="227"/>
      <c r="W18" s="227"/>
      <c r="X18" s="703"/>
      <c r="Y18" s="207">
        <f t="shared" si="12"/>
        <v>0</v>
      </c>
      <c r="Z18" s="233"/>
      <c r="AA18" s="227"/>
      <c r="AB18" s="233"/>
      <c r="AC18" s="124"/>
      <c r="AD18" s="124"/>
      <c r="AE18" s="704">
        <f t="shared" si="15"/>
        <v>0</v>
      </c>
      <c r="AF18" s="688"/>
      <c r="AG18" s="688"/>
      <c r="AH18" s="688"/>
      <c r="AI18" s="1107">
        <f t="shared" si="16"/>
        <v>0</v>
      </c>
      <c r="AJ18" s="1106"/>
      <c r="AK18" s="1106"/>
      <c r="AL18" s="942"/>
    </row>
    <row r="19" spans="1:38" ht="48" x14ac:dyDescent="0.2">
      <c r="A19" s="94"/>
      <c r="B19" s="68"/>
      <c r="C19" s="95" t="s">
        <v>45</v>
      </c>
      <c r="D19" s="98"/>
      <c r="E19" s="205">
        <f t="shared" ref="E19:E45" si="23">F19+G19+H19</f>
        <v>15437.123780000002</v>
      </c>
      <c r="F19" s="206">
        <f t="shared" ref="F19:G27" si="24">J19+N19+R19+V19+Z19+AF19+AJ19</f>
        <v>0</v>
      </c>
      <c r="G19" s="206">
        <f t="shared" si="24"/>
        <v>6250.9503000000013</v>
      </c>
      <c r="H19" s="206">
        <f t="shared" si="17"/>
        <v>9186.1734799999995</v>
      </c>
      <c r="I19" s="903">
        <f t="shared" ref="I19:I40" si="25">J19+K19+L19</f>
        <v>3103.19</v>
      </c>
      <c r="J19" s="904"/>
      <c r="K19" s="904">
        <v>1552.9</v>
      </c>
      <c r="L19" s="896">
        <v>1550.29</v>
      </c>
      <c r="M19" s="893">
        <f t="shared" ref="M19:M28" si="26">N19+O19+P19</f>
        <v>2650.3</v>
      </c>
      <c r="N19" s="893"/>
      <c r="O19" s="893">
        <v>1342</v>
      </c>
      <c r="P19" s="893">
        <v>1308.3</v>
      </c>
      <c r="Q19" s="893">
        <f t="shared" si="19"/>
        <v>2480.1834799999997</v>
      </c>
      <c r="R19" s="893"/>
      <c r="S19" s="893">
        <v>1392.8</v>
      </c>
      <c r="T19" s="893">
        <v>1087.38348</v>
      </c>
      <c r="U19" s="207">
        <f t="shared" si="20"/>
        <v>1791.7502999999999</v>
      </c>
      <c r="V19" s="227"/>
      <c r="W19" s="207">
        <v>485.45030000000003</v>
      </c>
      <c r="X19" s="703">
        <f>1311.3-5</f>
        <v>1306.3</v>
      </c>
      <c r="Y19" s="207">
        <f t="shared" si="12"/>
        <v>1803.9</v>
      </c>
      <c r="Z19" s="207"/>
      <c r="AA19" s="207">
        <v>492.6</v>
      </c>
      <c r="AB19" s="707">
        <v>1311.3</v>
      </c>
      <c r="AC19" s="124"/>
      <c r="AD19" s="124"/>
      <c r="AE19" s="704">
        <f t="shared" si="15"/>
        <v>1803.9</v>
      </c>
      <c r="AF19" s="688"/>
      <c r="AG19" s="708">
        <v>492.6</v>
      </c>
      <c r="AH19" s="943">
        <v>1311.3</v>
      </c>
      <c r="AI19" s="704">
        <f t="shared" si="16"/>
        <v>1803.9</v>
      </c>
      <c r="AJ19" s="1108"/>
      <c r="AK19" s="709">
        <v>492.6</v>
      </c>
      <c r="AL19" s="1099">
        <v>1311.3</v>
      </c>
    </row>
    <row r="20" spans="1:38" ht="24" x14ac:dyDescent="0.2">
      <c r="A20" s="94"/>
      <c r="B20" s="95"/>
      <c r="C20" s="95" t="s">
        <v>72</v>
      </c>
      <c r="D20" s="98"/>
      <c r="E20" s="205">
        <f t="shared" si="23"/>
        <v>231.31</v>
      </c>
      <c r="F20" s="206">
        <f t="shared" si="24"/>
        <v>0</v>
      </c>
      <c r="G20" s="206">
        <f t="shared" si="24"/>
        <v>0</v>
      </c>
      <c r="H20" s="206">
        <f t="shared" si="17"/>
        <v>231.31</v>
      </c>
      <c r="I20" s="903">
        <f t="shared" si="25"/>
        <v>231.31</v>
      </c>
      <c r="J20" s="904"/>
      <c r="K20" s="904"/>
      <c r="L20" s="896">
        <v>231.31</v>
      </c>
      <c r="M20" s="893">
        <f t="shared" si="26"/>
        <v>0</v>
      </c>
      <c r="N20" s="893"/>
      <c r="O20" s="893"/>
      <c r="P20" s="893"/>
      <c r="Q20" s="893">
        <f t="shared" si="19"/>
        <v>0</v>
      </c>
      <c r="R20" s="893"/>
      <c r="S20" s="893"/>
      <c r="T20" s="893"/>
      <c r="U20" s="209">
        <f t="shared" si="20"/>
        <v>0</v>
      </c>
      <c r="V20" s="210"/>
      <c r="W20" s="210"/>
      <c r="X20" s="211"/>
      <c r="Y20" s="208">
        <f t="shared" si="12"/>
        <v>0</v>
      </c>
      <c r="Z20" s="214"/>
      <c r="AA20" s="227"/>
      <c r="AB20" s="233"/>
      <c r="AC20" s="124"/>
      <c r="AD20" s="124"/>
      <c r="AE20" s="704">
        <f t="shared" si="15"/>
        <v>0</v>
      </c>
      <c r="AF20" s="688"/>
      <c r="AG20" s="688"/>
      <c r="AH20" s="945"/>
      <c r="AI20" s="704">
        <f t="shared" si="16"/>
        <v>0</v>
      </c>
      <c r="AJ20" s="1108"/>
      <c r="AK20" s="1108"/>
      <c r="AL20" s="1093"/>
    </row>
    <row r="21" spans="1:38" ht="30" customHeight="1" x14ac:dyDescent="0.2">
      <c r="A21" s="94"/>
      <c r="B21" s="160" t="s">
        <v>552</v>
      </c>
      <c r="C21" s="95" t="s">
        <v>391</v>
      </c>
      <c r="D21" s="98"/>
      <c r="E21" s="205">
        <f t="shared" si="23"/>
        <v>0</v>
      </c>
      <c r="F21" s="206">
        <f t="shared" si="24"/>
        <v>0</v>
      </c>
      <c r="G21" s="206">
        <f t="shared" si="24"/>
        <v>0</v>
      </c>
      <c r="H21" s="206">
        <f t="shared" si="17"/>
        <v>0</v>
      </c>
      <c r="I21" s="903"/>
      <c r="J21" s="904"/>
      <c r="K21" s="904"/>
      <c r="L21" s="896"/>
      <c r="M21" s="893"/>
      <c r="N21" s="893"/>
      <c r="O21" s="893"/>
      <c r="P21" s="893"/>
      <c r="Q21" s="893"/>
      <c r="R21" s="893"/>
      <c r="S21" s="893"/>
      <c r="T21" s="893"/>
      <c r="U21" s="209"/>
      <c r="V21" s="210"/>
      <c r="W21" s="209">
        <v>0</v>
      </c>
      <c r="X21" s="211"/>
      <c r="Y21" s="208"/>
      <c r="Z21" s="214"/>
      <c r="AA21" s="207">
        <v>0</v>
      </c>
      <c r="AB21" s="233"/>
      <c r="AC21" s="124"/>
      <c r="AD21" s="124"/>
      <c r="AE21" s="704">
        <f>AF21+AG21+AH21</f>
        <v>0</v>
      </c>
      <c r="AF21" s="688"/>
      <c r="AG21" s="709"/>
      <c r="AH21" s="943"/>
      <c r="AI21" s="704">
        <f t="shared" si="16"/>
        <v>0</v>
      </c>
      <c r="AJ21" s="1108"/>
      <c r="AK21" s="1108"/>
      <c r="AL21" s="1093"/>
    </row>
    <row r="22" spans="1:38" ht="72" x14ac:dyDescent="0.2">
      <c r="A22" s="89" t="s">
        <v>209</v>
      </c>
      <c r="B22" s="91" t="s">
        <v>205</v>
      </c>
      <c r="C22" s="91" t="s">
        <v>61</v>
      </c>
      <c r="D22" s="90"/>
      <c r="E22" s="206">
        <f t="shared" si="23"/>
        <v>88400.2</v>
      </c>
      <c r="F22" s="206">
        <f t="shared" si="24"/>
        <v>0</v>
      </c>
      <c r="G22" s="206">
        <f t="shared" si="24"/>
        <v>88400.2</v>
      </c>
      <c r="H22" s="206">
        <f t="shared" si="17"/>
        <v>0</v>
      </c>
      <c r="I22" s="901">
        <f>J22+K22+L22</f>
        <v>12100.8</v>
      </c>
      <c r="J22" s="902"/>
      <c r="K22" s="902">
        <v>12100.8</v>
      </c>
      <c r="L22" s="902"/>
      <c r="M22" s="889">
        <f>N22+O22+P22</f>
        <v>11121.9</v>
      </c>
      <c r="N22" s="890"/>
      <c r="O22" s="890">
        <v>11121.9</v>
      </c>
      <c r="P22" s="890"/>
      <c r="Q22" s="893">
        <f t="shared" si="19"/>
        <v>12103.8</v>
      </c>
      <c r="R22" s="893"/>
      <c r="S22" s="893">
        <v>12103.8</v>
      </c>
      <c r="T22" s="893"/>
      <c r="U22" s="209">
        <f t="shared" si="20"/>
        <v>11784.1</v>
      </c>
      <c r="V22" s="209"/>
      <c r="W22" s="207">
        <v>11784.1</v>
      </c>
      <c r="X22" s="703"/>
      <c r="Y22" s="207">
        <f>Z22+AA22+AB22</f>
        <v>13763.2</v>
      </c>
      <c r="Z22" s="227"/>
      <c r="AA22" s="227">
        <v>13763.2</v>
      </c>
      <c r="AB22" s="227"/>
      <c r="AC22" s="124"/>
      <c r="AD22" s="124"/>
      <c r="AE22" s="704">
        <f t="shared" si="15"/>
        <v>13763.2</v>
      </c>
      <c r="AF22" s="688"/>
      <c r="AG22" s="709">
        <v>13763.2</v>
      </c>
      <c r="AH22" s="945"/>
      <c r="AI22" s="704">
        <f t="shared" si="16"/>
        <v>13763.2</v>
      </c>
      <c r="AJ22" s="1108"/>
      <c r="AK22" s="709">
        <v>13763.2</v>
      </c>
      <c r="AL22" s="1093"/>
    </row>
    <row r="23" spans="1:38" ht="84" x14ac:dyDescent="0.2">
      <c r="A23" s="89" t="s">
        <v>211</v>
      </c>
      <c r="B23" s="91" t="s">
        <v>306</v>
      </c>
      <c r="C23" s="91" t="s">
        <v>61</v>
      </c>
      <c r="D23" s="91"/>
      <c r="E23" s="206">
        <f t="shared" si="23"/>
        <v>2142.2999999999997</v>
      </c>
      <c r="F23" s="206">
        <f t="shared" si="24"/>
        <v>0</v>
      </c>
      <c r="G23" s="206">
        <f t="shared" si="24"/>
        <v>2142.2999999999997</v>
      </c>
      <c r="H23" s="206">
        <f t="shared" si="17"/>
        <v>0</v>
      </c>
      <c r="I23" s="909">
        <f t="shared" si="25"/>
        <v>290.39999999999998</v>
      </c>
      <c r="J23" s="902"/>
      <c r="K23" s="902">
        <v>290.39999999999998</v>
      </c>
      <c r="L23" s="902"/>
      <c r="M23" s="890">
        <f t="shared" si="26"/>
        <v>222.4</v>
      </c>
      <c r="N23" s="890"/>
      <c r="O23" s="890">
        <v>222.4</v>
      </c>
      <c r="P23" s="890"/>
      <c r="Q23" s="893">
        <f t="shared" si="19"/>
        <v>302.60000000000002</v>
      </c>
      <c r="R23" s="893"/>
      <c r="S23" s="893">
        <v>302.60000000000002</v>
      </c>
      <c r="T23" s="893"/>
      <c r="U23" s="209">
        <f t="shared" si="20"/>
        <v>294.60000000000002</v>
      </c>
      <c r="V23" s="210"/>
      <c r="W23" s="227">
        <v>294.60000000000002</v>
      </c>
      <c r="X23" s="703"/>
      <c r="Y23" s="207">
        <f t="shared" si="12"/>
        <v>344.1</v>
      </c>
      <c r="Z23" s="233"/>
      <c r="AA23" s="227">
        <v>344.1</v>
      </c>
      <c r="AB23" s="233"/>
      <c r="AC23" s="124"/>
      <c r="AD23" s="124"/>
      <c r="AE23" s="704">
        <f t="shared" si="15"/>
        <v>344.1</v>
      </c>
      <c r="AF23" s="688"/>
      <c r="AG23" s="709">
        <v>344.1</v>
      </c>
      <c r="AH23" s="945"/>
      <c r="AI23" s="704">
        <f t="shared" si="16"/>
        <v>344.1</v>
      </c>
      <c r="AJ23" s="1108"/>
      <c r="AK23" s="709">
        <v>344.1</v>
      </c>
      <c r="AL23" s="1093"/>
    </row>
    <row r="24" spans="1:38" ht="36" x14ac:dyDescent="0.2">
      <c r="A24" s="89" t="s">
        <v>212</v>
      </c>
      <c r="B24" s="91" t="s">
        <v>307</v>
      </c>
      <c r="C24" s="91" t="s">
        <v>44</v>
      </c>
      <c r="D24" s="91"/>
      <c r="E24" s="206">
        <f>F24+G24+H24</f>
        <v>2823.74</v>
      </c>
      <c r="F24" s="206">
        <f t="shared" si="24"/>
        <v>0</v>
      </c>
      <c r="G24" s="206">
        <f t="shared" si="24"/>
        <v>2823.74</v>
      </c>
      <c r="H24" s="206">
        <f t="shared" si="17"/>
        <v>0</v>
      </c>
      <c r="I24" s="901">
        <f>J24+K24+L24</f>
        <v>2823.74</v>
      </c>
      <c r="J24" s="902"/>
      <c r="K24" s="902">
        <v>2823.74</v>
      </c>
      <c r="L24" s="902"/>
      <c r="M24" s="889">
        <f>N24+O24+P24</f>
        <v>0</v>
      </c>
      <c r="N24" s="890"/>
      <c r="O24" s="890"/>
      <c r="P24" s="890"/>
      <c r="Q24" s="893">
        <f>R24+S24+T24</f>
        <v>0</v>
      </c>
      <c r="R24" s="893"/>
      <c r="S24" s="893"/>
      <c r="T24" s="893"/>
      <c r="U24" s="209">
        <f>V24+W24+X24</f>
        <v>0</v>
      </c>
      <c r="V24" s="209"/>
      <c r="W24" s="227"/>
      <c r="X24" s="703"/>
      <c r="Y24" s="207">
        <f t="shared" si="12"/>
        <v>0</v>
      </c>
      <c r="Z24" s="233"/>
      <c r="AA24" s="227"/>
      <c r="AB24" s="233"/>
      <c r="AC24" s="124"/>
      <c r="AD24" s="124"/>
      <c r="AE24" s="704">
        <f t="shared" si="15"/>
        <v>0</v>
      </c>
      <c r="AF24" s="688"/>
      <c r="AG24" s="709"/>
      <c r="AH24" s="945"/>
      <c r="AI24" s="954">
        <f t="shared" si="16"/>
        <v>0</v>
      </c>
      <c r="AJ24" s="942"/>
      <c r="AK24" s="942"/>
      <c r="AL24" s="942"/>
    </row>
    <row r="25" spans="1:38" ht="24" x14ac:dyDescent="0.2">
      <c r="A25" s="89" t="s">
        <v>213</v>
      </c>
      <c r="B25" s="91" t="s">
        <v>308</v>
      </c>
      <c r="C25" s="91" t="s">
        <v>44</v>
      </c>
      <c r="D25" s="91"/>
      <c r="E25" s="206">
        <f>F25+G25+H25</f>
        <v>1837.06</v>
      </c>
      <c r="F25" s="206">
        <f t="shared" si="24"/>
        <v>0</v>
      </c>
      <c r="G25" s="206">
        <f t="shared" si="24"/>
        <v>1837.06</v>
      </c>
      <c r="H25" s="206">
        <f t="shared" si="17"/>
        <v>0</v>
      </c>
      <c r="I25" s="901">
        <f>J25+K25+L25</f>
        <v>1837.06</v>
      </c>
      <c r="J25" s="902"/>
      <c r="K25" s="902">
        <v>1837.06</v>
      </c>
      <c r="L25" s="902"/>
      <c r="M25" s="889">
        <f>N25+O25+P25</f>
        <v>0</v>
      </c>
      <c r="N25" s="890"/>
      <c r="O25" s="890"/>
      <c r="P25" s="890"/>
      <c r="Q25" s="893">
        <f>R25+S25+T25</f>
        <v>0</v>
      </c>
      <c r="R25" s="893"/>
      <c r="S25" s="893"/>
      <c r="T25" s="893"/>
      <c r="U25" s="209">
        <f>V25+W25+X25</f>
        <v>0</v>
      </c>
      <c r="V25" s="210"/>
      <c r="W25" s="210"/>
      <c r="X25" s="211"/>
      <c r="Y25" s="208">
        <f t="shared" si="12"/>
        <v>0</v>
      </c>
      <c r="Z25" s="214"/>
      <c r="AA25" s="210"/>
      <c r="AB25" s="214"/>
      <c r="AE25" s="691">
        <f t="shared" si="15"/>
        <v>0</v>
      </c>
      <c r="AF25" s="687"/>
      <c r="AG25" s="700"/>
      <c r="AH25" s="944"/>
      <c r="AI25" s="954">
        <f t="shared" si="16"/>
        <v>0</v>
      </c>
      <c r="AJ25" s="942"/>
      <c r="AK25" s="942"/>
      <c r="AL25" s="942"/>
    </row>
    <row r="26" spans="1:38" ht="145.5" customHeight="1" x14ac:dyDescent="0.2">
      <c r="A26" s="89" t="s">
        <v>553</v>
      </c>
      <c r="B26" s="611" t="s">
        <v>603</v>
      </c>
      <c r="C26" s="91"/>
      <c r="D26" s="91"/>
      <c r="E26" s="206">
        <f>F26+G26+H26</f>
        <v>39502.1</v>
      </c>
      <c r="F26" s="206">
        <f t="shared" si="24"/>
        <v>0</v>
      </c>
      <c r="G26" s="206">
        <f t="shared" si="24"/>
        <v>0</v>
      </c>
      <c r="H26" s="206">
        <f t="shared" si="17"/>
        <v>39502.1</v>
      </c>
      <c r="I26" s="901"/>
      <c r="J26" s="902"/>
      <c r="K26" s="902"/>
      <c r="L26" s="902"/>
      <c r="M26" s="889"/>
      <c r="N26" s="890"/>
      <c r="O26" s="890"/>
      <c r="P26" s="890"/>
      <c r="Q26" s="893"/>
      <c r="R26" s="893"/>
      <c r="S26" s="893"/>
      <c r="T26" s="893"/>
      <c r="U26" s="209">
        <f>V26+W26+X26</f>
        <v>11392.1</v>
      </c>
      <c r="V26" s="210"/>
      <c r="W26" s="210"/>
      <c r="X26" s="211">
        <v>11392.1</v>
      </c>
      <c r="Y26" s="208">
        <f t="shared" si="12"/>
        <v>9370</v>
      </c>
      <c r="Z26" s="214"/>
      <c r="AA26" s="210"/>
      <c r="AB26" s="1094">
        <f>9470-100</f>
        <v>9370</v>
      </c>
      <c r="AC26" s="180"/>
      <c r="AD26" s="180"/>
      <c r="AE26" s="1081">
        <f t="shared" si="15"/>
        <v>9370</v>
      </c>
      <c r="AF26" s="1096"/>
      <c r="AG26" s="1099"/>
      <c r="AH26" s="1100">
        <f>9470-100</f>
        <v>9370</v>
      </c>
      <c r="AI26" s="1081">
        <f t="shared" si="16"/>
        <v>9370</v>
      </c>
      <c r="AJ26" s="1098"/>
      <c r="AK26" s="1098"/>
      <c r="AL26" s="1097">
        <f>9470-100</f>
        <v>9370</v>
      </c>
    </row>
    <row r="27" spans="1:38" ht="76.5" customHeight="1" x14ac:dyDescent="0.2">
      <c r="A27" s="82"/>
      <c r="B27" s="451" t="s">
        <v>190</v>
      </c>
      <c r="C27" s="451"/>
      <c r="D27" s="451"/>
      <c r="E27" s="201">
        <f t="shared" si="23"/>
        <v>68919.120540000004</v>
      </c>
      <c r="F27" s="201">
        <f t="shared" si="24"/>
        <v>0</v>
      </c>
      <c r="G27" s="201">
        <f t="shared" si="24"/>
        <v>1842.2789399999997</v>
      </c>
      <c r="H27" s="201">
        <f>L27+P27+T27+X27+AB27+AH27+AL27</f>
        <v>67076.8416</v>
      </c>
      <c r="I27" s="899">
        <f t="shared" si="25"/>
        <v>4563.7</v>
      </c>
      <c r="J27" s="899">
        <f>J28+J48+J58</f>
        <v>0</v>
      </c>
      <c r="K27" s="899">
        <f>K28+K48+K58</f>
        <v>0</v>
      </c>
      <c r="L27" s="899">
        <f>L28+L48+L58</f>
        <v>4563.7</v>
      </c>
      <c r="M27" s="899">
        <f t="shared" si="26"/>
        <v>3095.8</v>
      </c>
      <c r="N27" s="899">
        <f>N28+N48+N58</f>
        <v>0</v>
      </c>
      <c r="O27" s="899">
        <f>O28+O48+O58</f>
        <v>1593</v>
      </c>
      <c r="P27" s="899">
        <f>P28+P48+P58</f>
        <v>1502.8</v>
      </c>
      <c r="Q27" s="899">
        <f t="shared" ref="Q27:Q32" si="27">R27+S27+T27</f>
        <v>2246.5686000000001</v>
      </c>
      <c r="R27" s="899">
        <f>R28+R48+R58</f>
        <v>0</v>
      </c>
      <c r="S27" s="899">
        <f>S28+S48+S58</f>
        <v>0</v>
      </c>
      <c r="T27" s="899">
        <f>T28+T48+T58</f>
        <v>2246.5686000000001</v>
      </c>
      <c r="U27" s="201">
        <f t="shared" si="20"/>
        <v>14548.273000000001</v>
      </c>
      <c r="V27" s="201">
        <f>V28+V48+V58</f>
        <v>0</v>
      </c>
      <c r="W27" s="201">
        <f>W28+W48+W58</f>
        <v>0</v>
      </c>
      <c r="X27" s="808">
        <f>X28+X48+X58</f>
        <v>14548.273000000001</v>
      </c>
      <c r="Y27" s="825">
        <f>Z27+AA27+AB27</f>
        <v>14821.592979999999</v>
      </c>
      <c r="Z27" s="825">
        <f>Z28+Z48+Z58</f>
        <v>0</v>
      </c>
      <c r="AA27" s="826">
        <f>AA28+AA48+AA58</f>
        <v>83.092979999999997</v>
      </c>
      <c r="AB27" s="825">
        <f>AB28+AB48+AB58</f>
        <v>14738.5</v>
      </c>
      <c r="AC27" s="818"/>
      <c r="AD27" s="818"/>
      <c r="AE27" s="827">
        <f t="shared" si="15"/>
        <v>14821.592979999999</v>
      </c>
      <c r="AF27" s="825">
        <f t="shared" ref="AF27:AG27" si="28">AF28+AF48+AF58</f>
        <v>0</v>
      </c>
      <c r="AG27" s="825">
        <f t="shared" si="28"/>
        <v>83.092979999999997</v>
      </c>
      <c r="AH27" s="946">
        <f>AH28+AH48+AH58</f>
        <v>14738.5</v>
      </c>
      <c r="AI27" s="1145">
        <f>AJ27+AK27+AL27</f>
        <v>14821.592979999999</v>
      </c>
      <c r="AJ27" s="957">
        <f t="shared" ref="AJ27:AK27" si="29">AJ28+AJ48+AJ58</f>
        <v>0</v>
      </c>
      <c r="AK27" s="957">
        <f t="shared" si="29"/>
        <v>83.092979999999997</v>
      </c>
      <c r="AL27" s="957">
        <f>AL28+AL48+AL58</f>
        <v>14738.5</v>
      </c>
    </row>
    <row r="28" spans="1:38" ht="35.25" customHeight="1" x14ac:dyDescent="0.2">
      <c r="A28" s="86" t="s">
        <v>13</v>
      </c>
      <c r="B28" s="100" t="s">
        <v>214</v>
      </c>
      <c r="C28" s="101"/>
      <c r="D28" s="101"/>
      <c r="E28" s="216">
        <f t="shared" si="23"/>
        <v>62643.672960000004</v>
      </c>
      <c r="F28" s="216">
        <f>F29+F34+F38</f>
        <v>0</v>
      </c>
      <c r="G28" s="202">
        <f t="shared" ref="G28" si="30">K28+O28+S28+W28+AA28+AG28</f>
        <v>1759.1859599999998</v>
      </c>
      <c r="H28" s="202">
        <f>L28+P28+T28+X28+AB28+AH28+AL28</f>
        <v>60884.487000000001</v>
      </c>
      <c r="I28" s="910">
        <f t="shared" si="25"/>
        <v>3735.7</v>
      </c>
      <c r="J28" s="910">
        <f>J29+J34+J38</f>
        <v>0</v>
      </c>
      <c r="K28" s="910">
        <f>K29+K34+K38</f>
        <v>0</v>
      </c>
      <c r="L28" s="910">
        <f>L29+L34+L38</f>
        <v>3735.7</v>
      </c>
      <c r="M28" s="910">
        <f t="shared" si="26"/>
        <v>2317.8000000000002</v>
      </c>
      <c r="N28" s="910">
        <f>N29+N34+N38</f>
        <v>0</v>
      </c>
      <c r="O28" s="910">
        <f>O29+O34+O38</f>
        <v>1593</v>
      </c>
      <c r="P28" s="910">
        <f>P29+P34+P38</f>
        <v>724.8</v>
      </c>
      <c r="Q28" s="910">
        <f t="shared" si="27"/>
        <v>1400.2139999999999</v>
      </c>
      <c r="R28" s="910">
        <f>R29+R34+R38</f>
        <v>0</v>
      </c>
      <c r="S28" s="910">
        <f>S29+S34+S38</f>
        <v>0</v>
      </c>
      <c r="T28" s="910">
        <f>T29+T34+T38</f>
        <v>1400.2139999999999</v>
      </c>
      <c r="U28" s="216">
        <f t="shared" si="20"/>
        <v>13613.273000000001</v>
      </c>
      <c r="V28" s="216">
        <f>V29+V34+V38</f>
        <v>0</v>
      </c>
      <c r="W28" s="216">
        <f>W29+W34+W38</f>
        <v>0</v>
      </c>
      <c r="X28" s="1146">
        <f>X29+X34+X38+X46</f>
        <v>13613.273000000001</v>
      </c>
      <c r="Y28" s="217">
        <f>Z28+AA28+AB28</f>
        <v>13886.592979999999</v>
      </c>
      <c r="Z28" s="689">
        <f t="shared" ref="Z28:AA28" si="31">Z29+Z34+Z38</f>
        <v>0</v>
      </c>
      <c r="AA28" s="689">
        <f t="shared" si="31"/>
        <v>83.092979999999997</v>
      </c>
      <c r="AB28" s="689">
        <f>AB29+AB34+AB38</f>
        <v>13803.5</v>
      </c>
      <c r="AC28" s="814"/>
      <c r="AD28" s="814"/>
      <c r="AE28" s="799">
        <f>AF28+AG28+AH28</f>
        <v>13886.592979999999</v>
      </c>
      <c r="AF28" s="689">
        <f t="shared" ref="AF28:AG28" si="32">AF29+AF34+AF38</f>
        <v>0</v>
      </c>
      <c r="AG28" s="689">
        <f t="shared" si="32"/>
        <v>83.092979999999997</v>
      </c>
      <c r="AH28" s="689">
        <f>AH29+AH34+AH38</f>
        <v>13803.5</v>
      </c>
      <c r="AI28" s="1079">
        <f>AJ28+AK28+AL28</f>
        <v>13886.592979999999</v>
      </c>
      <c r="AJ28" s="689">
        <f t="shared" ref="AJ28:AK28" si="33">AJ29+AJ34+AJ38</f>
        <v>0</v>
      </c>
      <c r="AK28" s="689">
        <f t="shared" si="33"/>
        <v>83.092979999999997</v>
      </c>
      <c r="AL28" s="689">
        <f>AL29+AL34+AL38</f>
        <v>13803.5</v>
      </c>
    </row>
    <row r="29" spans="1:38" ht="43.5" customHeight="1" x14ac:dyDescent="0.2">
      <c r="A29" s="819" t="s">
        <v>14</v>
      </c>
      <c r="B29" s="828" t="s">
        <v>215</v>
      </c>
      <c r="C29" s="829"/>
      <c r="D29" s="829"/>
      <c r="E29" s="335">
        <f t="shared" si="23"/>
        <v>7313.6440000000002</v>
      </c>
      <c r="F29" s="232">
        <f t="shared" ref="F29:H33" si="34">J29+N29+R29+V29+Z29+AF29+AJ29</f>
        <v>0</v>
      </c>
      <c r="G29" s="232">
        <f t="shared" si="34"/>
        <v>1593</v>
      </c>
      <c r="H29" s="232">
        <f>L29+P29+T29+X29+AB29+AH29+AL29</f>
        <v>5720.6440000000002</v>
      </c>
      <c r="I29" s="911">
        <f>J29+K29+L29</f>
        <v>2878.7</v>
      </c>
      <c r="J29" s="912">
        <f>J30+J31+J32</f>
        <v>0</v>
      </c>
      <c r="K29" s="912">
        <f>K30+K31+K32</f>
        <v>0</v>
      </c>
      <c r="L29" s="912">
        <f>L30+L31+L32</f>
        <v>2878.7</v>
      </c>
      <c r="M29" s="911">
        <f>N29+O29+P29</f>
        <v>2257.8000000000002</v>
      </c>
      <c r="N29" s="911">
        <f>N30+N31+N32</f>
        <v>0</v>
      </c>
      <c r="O29" s="911">
        <f>O30+O31+O32</f>
        <v>1593</v>
      </c>
      <c r="P29" s="911">
        <f>P30+P31+P32</f>
        <v>664.8</v>
      </c>
      <c r="Q29" s="911">
        <f>R29+S29+T29</f>
        <v>1070.2139999999999</v>
      </c>
      <c r="R29" s="911">
        <f>R30+R31+R32</f>
        <v>0</v>
      </c>
      <c r="S29" s="911">
        <f>S30+S31+S32</f>
        <v>0</v>
      </c>
      <c r="T29" s="911">
        <f>T30+T31+T32+T33</f>
        <v>1070.2139999999999</v>
      </c>
      <c r="U29" s="232">
        <f>V29+W29+X29</f>
        <v>1106.93</v>
      </c>
      <c r="V29" s="232">
        <f>V30+V31+V32</f>
        <v>0</v>
      </c>
      <c r="W29" s="232">
        <f>W30+W31+W32</f>
        <v>0</v>
      </c>
      <c r="X29" s="711">
        <f>X30+X31+X32+X33</f>
        <v>1106.93</v>
      </c>
      <c r="Y29" s="707">
        <f>Z29+AA29+AB29</f>
        <v>0</v>
      </c>
      <c r="Z29" s="707">
        <f>Z30+Z31+Z32</f>
        <v>0</v>
      </c>
      <c r="AA29" s="232">
        <f>AA30+AA31+AA32</f>
        <v>0</v>
      </c>
      <c r="AB29" s="707">
        <f>AB30+AB31+AB32+AB33</f>
        <v>0</v>
      </c>
      <c r="AC29" s="124"/>
      <c r="AD29" s="124"/>
      <c r="AE29" s="830">
        <f>AF29+AG29+AH29</f>
        <v>0</v>
      </c>
      <c r="AF29" s="232">
        <f>AF30+AF31+AF32+AF33</f>
        <v>0</v>
      </c>
      <c r="AG29" s="232">
        <f>AG30+AG31+AG32+AG33</f>
        <v>0</v>
      </c>
      <c r="AH29" s="711">
        <f>AH30+AH31+AH32+AH33</f>
        <v>0</v>
      </c>
      <c r="AI29" s="1084">
        <f>AJ29+AK29+AL29</f>
        <v>0</v>
      </c>
      <c r="AJ29" s="1084"/>
      <c r="AK29" s="1084"/>
      <c r="AL29" s="1084"/>
    </row>
    <row r="30" spans="1:38" ht="51" customHeight="1" x14ac:dyDescent="0.2">
      <c r="A30" s="819" t="s">
        <v>216</v>
      </c>
      <c r="B30" s="831" t="s">
        <v>218</v>
      </c>
      <c r="C30" s="823" t="s">
        <v>572</v>
      </c>
      <c r="D30" s="820" t="s">
        <v>7</v>
      </c>
      <c r="E30" s="204">
        <f t="shared" si="23"/>
        <v>5783.6440000000002</v>
      </c>
      <c r="F30" s="204">
        <f t="shared" si="34"/>
        <v>0</v>
      </c>
      <c r="G30" s="204">
        <f t="shared" si="34"/>
        <v>1593</v>
      </c>
      <c r="H30" s="204">
        <f>L30+P30+T30+X30+AB30+AH30+AL30</f>
        <v>4190.6440000000002</v>
      </c>
      <c r="I30" s="901">
        <f t="shared" si="25"/>
        <v>1348.7</v>
      </c>
      <c r="J30" s="913"/>
      <c r="K30" s="913">
        <v>0</v>
      </c>
      <c r="L30" s="913">
        <v>1348.7</v>
      </c>
      <c r="M30" s="901">
        <f t="shared" ref="M30:M40" si="35">N30+O30+P30</f>
        <v>2257.8000000000002</v>
      </c>
      <c r="N30" s="901"/>
      <c r="O30" s="889">
        <v>1593</v>
      </c>
      <c r="P30" s="889">
        <v>664.8</v>
      </c>
      <c r="Q30" s="901">
        <f t="shared" si="27"/>
        <v>1070.2139999999999</v>
      </c>
      <c r="R30" s="901"/>
      <c r="S30" s="889">
        <v>0</v>
      </c>
      <c r="T30" s="889">
        <v>1070.2139999999999</v>
      </c>
      <c r="U30" s="204">
        <f t="shared" ref="U30:U45" si="36">V30+W30+X30</f>
        <v>1106.93</v>
      </c>
      <c r="V30" s="204"/>
      <c r="W30" s="207">
        <v>0</v>
      </c>
      <c r="X30" s="703">
        <f>1090+16.93</f>
        <v>1106.93</v>
      </c>
      <c r="Y30" s="707"/>
      <c r="Z30" s="707"/>
      <c r="AA30" s="207">
        <v>0</v>
      </c>
      <c r="AB30" s="707"/>
      <c r="AC30" s="124"/>
      <c r="AD30" s="124"/>
      <c r="AE30" s="710">
        <f t="shared" ref="AE30:AE33" si="37">AF30+AG30+AH30</f>
        <v>0</v>
      </c>
      <c r="AF30" s="688"/>
      <c r="AG30" s="688"/>
      <c r="AH30" s="945"/>
      <c r="AI30" s="1084">
        <f t="shared" ref="AI30:AI47" si="38">AJ30+AK30+AL30</f>
        <v>0</v>
      </c>
      <c r="AJ30" s="1084"/>
      <c r="AK30" s="1084"/>
      <c r="AL30" s="1084"/>
    </row>
    <row r="31" spans="1:38" ht="41.25" customHeight="1" x14ac:dyDescent="0.2">
      <c r="A31" s="819" t="s">
        <v>258</v>
      </c>
      <c r="B31" s="832" t="s">
        <v>217</v>
      </c>
      <c r="C31" s="832" t="s">
        <v>58</v>
      </c>
      <c r="D31" s="820" t="s">
        <v>7</v>
      </c>
      <c r="E31" s="204">
        <f t="shared" si="23"/>
        <v>1461</v>
      </c>
      <c r="F31" s="204">
        <f t="shared" si="34"/>
        <v>0</v>
      </c>
      <c r="G31" s="204">
        <f t="shared" si="34"/>
        <v>0</v>
      </c>
      <c r="H31" s="204">
        <f t="shared" si="34"/>
        <v>1461</v>
      </c>
      <c r="I31" s="901">
        <f t="shared" si="25"/>
        <v>1461</v>
      </c>
      <c r="J31" s="913"/>
      <c r="K31" s="913">
        <v>0</v>
      </c>
      <c r="L31" s="913">
        <v>1461</v>
      </c>
      <c r="M31" s="901">
        <f t="shared" si="35"/>
        <v>0</v>
      </c>
      <c r="N31" s="901"/>
      <c r="O31" s="889">
        <v>0</v>
      </c>
      <c r="P31" s="889">
        <v>0</v>
      </c>
      <c r="Q31" s="901">
        <f t="shared" si="27"/>
        <v>0</v>
      </c>
      <c r="R31" s="901"/>
      <c r="S31" s="889">
        <v>0</v>
      </c>
      <c r="T31" s="889">
        <v>0</v>
      </c>
      <c r="U31" s="204">
        <f t="shared" si="36"/>
        <v>0</v>
      </c>
      <c r="V31" s="204"/>
      <c r="W31" s="207">
        <v>0</v>
      </c>
      <c r="X31" s="703">
        <v>0</v>
      </c>
      <c r="Y31" s="707"/>
      <c r="Z31" s="707"/>
      <c r="AA31" s="207">
        <v>0</v>
      </c>
      <c r="AB31" s="707"/>
      <c r="AC31" s="124"/>
      <c r="AD31" s="124"/>
      <c r="AE31" s="710">
        <f t="shared" si="37"/>
        <v>0</v>
      </c>
      <c r="AF31" s="688"/>
      <c r="AG31" s="688"/>
      <c r="AH31" s="945"/>
      <c r="AI31" s="1084">
        <f t="shared" si="38"/>
        <v>0</v>
      </c>
      <c r="AJ31" s="1084"/>
      <c r="AK31" s="1084"/>
      <c r="AL31" s="1084"/>
    </row>
    <row r="32" spans="1:38" ht="30" customHeight="1" x14ac:dyDescent="0.2">
      <c r="A32" s="819" t="s">
        <v>257</v>
      </c>
      <c r="B32" s="833" t="s">
        <v>219</v>
      </c>
      <c r="C32" s="832" t="s">
        <v>58</v>
      </c>
      <c r="D32" s="820" t="s">
        <v>7</v>
      </c>
      <c r="E32" s="204">
        <f>F32+G32+H32</f>
        <v>69</v>
      </c>
      <c r="F32" s="204">
        <f t="shared" si="34"/>
        <v>0</v>
      </c>
      <c r="G32" s="204">
        <f t="shared" si="34"/>
        <v>0</v>
      </c>
      <c r="H32" s="204">
        <f t="shared" si="34"/>
        <v>69</v>
      </c>
      <c r="I32" s="901">
        <f t="shared" si="25"/>
        <v>69</v>
      </c>
      <c r="J32" s="913"/>
      <c r="K32" s="913">
        <v>0</v>
      </c>
      <c r="L32" s="913">
        <v>69</v>
      </c>
      <c r="M32" s="901">
        <f t="shared" si="35"/>
        <v>0</v>
      </c>
      <c r="N32" s="901"/>
      <c r="O32" s="889">
        <v>0</v>
      </c>
      <c r="P32" s="889">
        <v>0</v>
      </c>
      <c r="Q32" s="901">
        <f t="shared" si="27"/>
        <v>0</v>
      </c>
      <c r="R32" s="901"/>
      <c r="S32" s="889">
        <v>0</v>
      </c>
      <c r="T32" s="889">
        <v>0</v>
      </c>
      <c r="U32" s="204">
        <f t="shared" si="36"/>
        <v>0</v>
      </c>
      <c r="V32" s="204"/>
      <c r="W32" s="207">
        <v>0</v>
      </c>
      <c r="X32" s="703">
        <v>0</v>
      </c>
      <c r="Y32" s="707"/>
      <c r="Z32" s="707"/>
      <c r="AA32" s="207">
        <v>0</v>
      </c>
      <c r="AB32" s="707"/>
      <c r="AC32" s="124"/>
      <c r="AD32" s="124"/>
      <c r="AE32" s="710">
        <f t="shared" si="37"/>
        <v>0</v>
      </c>
      <c r="AF32" s="688"/>
      <c r="AG32" s="688"/>
      <c r="AH32" s="945"/>
      <c r="AI32" s="1084">
        <f t="shared" si="38"/>
        <v>0</v>
      </c>
      <c r="AJ32" s="1084"/>
      <c r="AK32" s="1084"/>
      <c r="AL32" s="1084"/>
    </row>
    <row r="33" spans="1:38" ht="58.9" customHeight="1" x14ac:dyDescent="0.2">
      <c r="A33" s="834" t="s">
        <v>363</v>
      </c>
      <c r="B33" s="833" t="s">
        <v>364</v>
      </c>
      <c r="C33" s="835" t="s">
        <v>391</v>
      </c>
      <c r="D33" s="836"/>
      <c r="E33" s="204">
        <f>F33+G33+H33</f>
        <v>0</v>
      </c>
      <c r="F33" s="204">
        <f t="shared" si="34"/>
        <v>0</v>
      </c>
      <c r="G33" s="204">
        <f t="shared" si="34"/>
        <v>0</v>
      </c>
      <c r="H33" s="204">
        <f t="shared" si="34"/>
        <v>0</v>
      </c>
      <c r="I33" s="901"/>
      <c r="J33" s="913"/>
      <c r="K33" s="913"/>
      <c r="L33" s="913"/>
      <c r="M33" s="901"/>
      <c r="N33" s="913"/>
      <c r="O33" s="895"/>
      <c r="P33" s="895"/>
      <c r="Q33" s="901">
        <f>R33+S33+T33</f>
        <v>0</v>
      </c>
      <c r="R33" s="913"/>
      <c r="S33" s="895"/>
      <c r="T33" s="895">
        <v>0</v>
      </c>
      <c r="U33" s="204">
        <f>V33+W33+X33</f>
        <v>0</v>
      </c>
      <c r="V33" s="220"/>
      <c r="W33" s="342"/>
      <c r="X33" s="703"/>
      <c r="Y33" s="707"/>
      <c r="Z33" s="707"/>
      <c r="AA33" s="342"/>
      <c r="AB33" s="707"/>
      <c r="AC33" s="124"/>
      <c r="AD33" s="124"/>
      <c r="AE33" s="710">
        <f t="shared" si="37"/>
        <v>0</v>
      </c>
      <c r="AF33" s="688"/>
      <c r="AG33" s="688"/>
      <c r="AH33" s="945"/>
      <c r="AI33" s="1084">
        <f t="shared" si="38"/>
        <v>0</v>
      </c>
      <c r="AJ33" s="1084"/>
      <c r="AK33" s="1084"/>
      <c r="AL33" s="1084"/>
    </row>
    <row r="34" spans="1:38" ht="22.5" customHeight="1" x14ac:dyDescent="0.2">
      <c r="A34" s="104" t="s">
        <v>54</v>
      </c>
      <c r="B34" s="105" t="s">
        <v>220</v>
      </c>
      <c r="C34" s="106"/>
      <c r="D34" s="106"/>
      <c r="E34" s="218">
        <f t="shared" si="23"/>
        <v>752.95799999999997</v>
      </c>
      <c r="F34" s="218">
        <f t="shared" ref="F34:G34" si="39">J34+N34+R34+V34+Z34</f>
        <v>0</v>
      </c>
      <c r="G34" s="218">
        <f t="shared" si="39"/>
        <v>0</v>
      </c>
      <c r="H34" s="218">
        <f>L34+P34+T34+X34+AB34+AH34+AL34</f>
        <v>752.95799999999997</v>
      </c>
      <c r="I34" s="914">
        <f t="shared" si="25"/>
        <v>60</v>
      </c>
      <c r="J34" s="915">
        <f>J35</f>
        <v>0</v>
      </c>
      <c r="K34" s="915">
        <f>K35</f>
        <v>0</v>
      </c>
      <c r="L34" s="915">
        <f>L35</f>
        <v>60</v>
      </c>
      <c r="M34" s="914">
        <f t="shared" si="35"/>
        <v>60</v>
      </c>
      <c r="N34" s="915">
        <f>N35</f>
        <v>0</v>
      </c>
      <c r="O34" s="915">
        <f>O35</f>
        <v>0</v>
      </c>
      <c r="P34" s="915">
        <f>P35</f>
        <v>60</v>
      </c>
      <c r="Q34" s="914">
        <f t="shared" ref="Q34:Q44" si="40">R34+S34+T34</f>
        <v>230</v>
      </c>
      <c r="R34" s="915">
        <f>R35</f>
        <v>0</v>
      </c>
      <c r="S34" s="915">
        <f>S35</f>
        <v>0</v>
      </c>
      <c r="T34" s="915">
        <f>T35+T36</f>
        <v>230</v>
      </c>
      <c r="U34" s="218">
        <f t="shared" si="36"/>
        <v>222.958</v>
      </c>
      <c r="V34" s="219">
        <f>V35</f>
        <v>0</v>
      </c>
      <c r="W34" s="219">
        <f>W35</f>
        <v>0</v>
      </c>
      <c r="X34" s="219">
        <f>X35+X36+X37</f>
        <v>222.958</v>
      </c>
      <c r="Y34" s="221">
        <f>Z34+AA34+AB34</f>
        <v>60</v>
      </c>
      <c r="Z34" s="1092">
        <f t="shared" ref="Z34:AA34" si="41">Z35+Z36</f>
        <v>0</v>
      </c>
      <c r="AA34" s="1092">
        <f t="shared" si="41"/>
        <v>0</v>
      </c>
      <c r="AB34" s="1092">
        <f>AB35+AB36</f>
        <v>60</v>
      </c>
      <c r="AE34" s="950">
        <f>AF34+AG34+AH34</f>
        <v>60</v>
      </c>
      <c r="AF34" s="951">
        <f t="shared" ref="AF34:AG34" si="42">AF35+AF36</f>
        <v>0</v>
      </c>
      <c r="AG34" s="951">
        <f t="shared" si="42"/>
        <v>0</v>
      </c>
      <c r="AH34" s="951">
        <f>AH35+AH36</f>
        <v>60</v>
      </c>
      <c r="AI34" s="1091">
        <f t="shared" si="38"/>
        <v>60</v>
      </c>
      <c r="AJ34" s="1091">
        <f t="shared" ref="AJ34:AK34" si="43">AJ35+AJ36</f>
        <v>0</v>
      </c>
      <c r="AK34" s="1091">
        <f t="shared" si="43"/>
        <v>0</v>
      </c>
      <c r="AL34" s="1091">
        <f>AL35+AL36</f>
        <v>60</v>
      </c>
    </row>
    <row r="35" spans="1:38" ht="24" x14ac:dyDescent="0.2">
      <c r="A35" s="89" t="s">
        <v>55</v>
      </c>
      <c r="B35" s="74" t="s">
        <v>222</v>
      </c>
      <c r="C35" s="74" t="s">
        <v>44</v>
      </c>
      <c r="D35" s="92" t="s">
        <v>7</v>
      </c>
      <c r="E35" s="204">
        <f t="shared" si="23"/>
        <v>300</v>
      </c>
      <c r="F35" s="205">
        <f t="shared" ref="F35:H48" si="44">J35+N35+R35+V35+Z35+AF35+AJ35</f>
        <v>0</v>
      </c>
      <c r="G35" s="205">
        <f t="shared" si="44"/>
        <v>0</v>
      </c>
      <c r="H35" s="205">
        <f>L35+P35+T35+X35+AB35+AH35+AL35</f>
        <v>300</v>
      </c>
      <c r="I35" s="901">
        <f t="shared" si="25"/>
        <v>60</v>
      </c>
      <c r="J35" s="913"/>
      <c r="K35" s="913">
        <v>0</v>
      </c>
      <c r="L35" s="913">
        <v>60</v>
      </c>
      <c r="M35" s="901">
        <f t="shared" si="35"/>
        <v>60</v>
      </c>
      <c r="N35" s="901"/>
      <c r="O35" s="889">
        <v>0</v>
      </c>
      <c r="P35" s="890">
        <v>60</v>
      </c>
      <c r="Q35" s="903">
        <f t="shared" si="40"/>
        <v>0</v>
      </c>
      <c r="R35" s="903"/>
      <c r="S35" s="893">
        <v>0</v>
      </c>
      <c r="T35" s="893">
        <v>0</v>
      </c>
      <c r="U35" s="205">
        <f t="shared" si="36"/>
        <v>0</v>
      </c>
      <c r="V35" s="205"/>
      <c r="W35" s="213">
        <v>0</v>
      </c>
      <c r="X35" s="703">
        <f>60-60</f>
        <v>0</v>
      </c>
      <c r="Y35" s="654">
        <f>Z35+AA35+AB35</f>
        <v>60</v>
      </c>
      <c r="Z35" s="707"/>
      <c r="AA35" s="222">
        <v>0</v>
      </c>
      <c r="AB35" s="1094">
        <v>60</v>
      </c>
      <c r="AC35" s="180"/>
      <c r="AD35" s="180"/>
      <c r="AE35" s="1094">
        <f>AF35+AG35+AH35</f>
        <v>60</v>
      </c>
      <c r="AF35" s="1096"/>
      <c r="AG35" s="1096"/>
      <c r="AH35" s="1100">
        <v>60</v>
      </c>
      <c r="AI35" s="1101">
        <f t="shared" si="38"/>
        <v>60</v>
      </c>
      <c r="AJ35" s="1090"/>
      <c r="AK35" s="1090"/>
      <c r="AL35" s="1101">
        <v>60</v>
      </c>
    </row>
    <row r="36" spans="1:38" ht="54" customHeight="1" x14ac:dyDescent="0.2">
      <c r="A36" s="89" t="s">
        <v>56</v>
      </c>
      <c r="B36" s="108" t="s">
        <v>224</v>
      </c>
      <c r="C36" s="115" t="s">
        <v>44</v>
      </c>
      <c r="D36" s="842"/>
      <c r="E36" s="204">
        <f t="shared" si="23"/>
        <v>252.958</v>
      </c>
      <c r="F36" s="205">
        <f t="shared" si="44"/>
        <v>0</v>
      </c>
      <c r="G36" s="205">
        <f t="shared" si="44"/>
        <v>0</v>
      </c>
      <c r="H36" s="205">
        <f>L36+P36+T36+X36+AB36+AH36+AL36</f>
        <v>252.958</v>
      </c>
      <c r="I36" s="901"/>
      <c r="J36" s="913"/>
      <c r="K36" s="913"/>
      <c r="L36" s="913"/>
      <c r="M36" s="901"/>
      <c r="N36" s="913"/>
      <c r="O36" s="895"/>
      <c r="P36" s="908"/>
      <c r="Q36" s="903">
        <f t="shared" si="40"/>
        <v>230</v>
      </c>
      <c r="R36" s="904"/>
      <c r="S36" s="896"/>
      <c r="T36" s="896">
        <v>230</v>
      </c>
      <c r="U36" s="205">
        <f t="shared" si="36"/>
        <v>22.957999999999998</v>
      </c>
      <c r="V36" s="212"/>
      <c r="W36" s="211"/>
      <c r="X36" s="703">
        <v>22.957999999999998</v>
      </c>
      <c r="Y36" s="654"/>
      <c r="Z36" s="843"/>
      <c r="AA36" s="703"/>
      <c r="AB36" s="707"/>
      <c r="AC36" s="124"/>
      <c r="AD36" s="124"/>
      <c r="AE36" s="654"/>
      <c r="AF36" s="687"/>
      <c r="AG36" s="687"/>
      <c r="AH36" s="944"/>
      <c r="AI36" s="1084">
        <f t="shared" si="38"/>
        <v>0</v>
      </c>
      <c r="AJ36" s="1084"/>
      <c r="AK36" s="1084"/>
      <c r="AL36" s="1084"/>
    </row>
    <row r="37" spans="1:38" ht="43.5" customHeight="1" x14ac:dyDescent="0.2">
      <c r="A37" s="89"/>
      <c r="B37" s="1110" t="s">
        <v>658</v>
      </c>
      <c r="C37" s="115" t="s">
        <v>44</v>
      </c>
      <c r="D37" s="842"/>
      <c r="E37" s="204"/>
      <c r="F37" s="205"/>
      <c r="G37" s="205"/>
      <c r="H37" s="205"/>
      <c r="I37" s="901"/>
      <c r="J37" s="913"/>
      <c r="K37" s="913"/>
      <c r="L37" s="913"/>
      <c r="M37" s="901"/>
      <c r="N37" s="913"/>
      <c r="O37" s="895"/>
      <c r="P37" s="908"/>
      <c r="Q37" s="903"/>
      <c r="R37" s="904"/>
      <c r="S37" s="896"/>
      <c r="T37" s="896"/>
      <c r="U37" s="205">
        <f t="shared" si="36"/>
        <v>200</v>
      </c>
      <c r="V37" s="212"/>
      <c r="W37" s="211"/>
      <c r="X37" s="703">
        <v>200</v>
      </c>
      <c r="Y37" s="654"/>
      <c r="Z37" s="843"/>
      <c r="AA37" s="703"/>
      <c r="AB37" s="707"/>
      <c r="AC37" s="124"/>
      <c r="AD37" s="124"/>
      <c r="AE37" s="654"/>
      <c r="AF37" s="687"/>
      <c r="AG37" s="687"/>
      <c r="AH37" s="944"/>
      <c r="AI37" s="1084"/>
      <c r="AJ37" s="1084"/>
      <c r="AK37" s="1084"/>
      <c r="AL37" s="1084"/>
    </row>
    <row r="38" spans="1:38" ht="12.75" x14ac:dyDescent="0.2">
      <c r="A38" s="102" t="s">
        <v>57</v>
      </c>
      <c r="B38" s="107" t="s">
        <v>221</v>
      </c>
      <c r="C38" s="106"/>
      <c r="D38" s="106"/>
      <c r="E38" s="223">
        <f t="shared" si="23"/>
        <v>43364.908940000001</v>
      </c>
      <c r="F38" s="226">
        <f t="shared" si="44"/>
        <v>0</v>
      </c>
      <c r="G38" s="226">
        <f t="shared" si="44"/>
        <v>249.27893999999998</v>
      </c>
      <c r="H38" s="226">
        <f>L38+P38+T38+X38+AB38+AH38+AL38</f>
        <v>43115.630000000005</v>
      </c>
      <c r="I38" s="916">
        <f t="shared" si="25"/>
        <v>797</v>
      </c>
      <c r="J38" s="917">
        <f>J39+J40</f>
        <v>0</v>
      </c>
      <c r="K38" s="917">
        <f>K39+K40</f>
        <v>0</v>
      </c>
      <c r="L38" s="917">
        <f>L39+L40</f>
        <v>797</v>
      </c>
      <c r="M38" s="916">
        <f t="shared" si="35"/>
        <v>0</v>
      </c>
      <c r="N38" s="917">
        <f>N39+N40</f>
        <v>0</v>
      </c>
      <c r="O38" s="917">
        <f>O39+O40</f>
        <v>0</v>
      </c>
      <c r="P38" s="917">
        <f>P39+P40</f>
        <v>0</v>
      </c>
      <c r="Q38" s="916">
        <f t="shared" si="40"/>
        <v>100</v>
      </c>
      <c r="R38" s="917">
        <f>R39+R40</f>
        <v>0</v>
      </c>
      <c r="S38" s="917">
        <f>S39+S40</f>
        <v>0</v>
      </c>
      <c r="T38" s="917">
        <f>T39+T40</f>
        <v>100</v>
      </c>
      <c r="U38" s="223">
        <f t="shared" si="36"/>
        <v>988.13</v>
      </c>
      <c r="V38" s="224">
        <f>V39+V40</f>
        <v>0</v>
      </c>
      <c r="W38" s="224">
        <f>W39+W40</f>
        <v>0</v>
      </c>
      <c r="X38" s="224">
        <f>X39+X40+X45</f>
        <v>988.13</v>
      </c>
      <c r="Y38" s="879">
        <f>Z38+AA38+AB38</f>
        <v>13826.592979999999</v>
      </c>
      <c r="Z38" s="864">
        <f t="shared" ref="Z38:AA38" si="45">Z39+Z40+Z45+Z46+Z47</f>
        <v>0</v>
      </c>
      <c r="AA38" s="223">
        <f t="shared" si="45"/>
        <v>83.092979999999997</v>
      </c>
      <c r="AB38" s="223">
        <f>AB39+AB40+AB45+AB46+AB47</f>
        <v>13743.5</v>
      </c>
      <c r="AC38" s="865"/>
      <c r="AD38" s="865"/>
      <c r="AE38" s="223">
        <f t="shared" ref="AE38:AG38" si="46">AE39+AE40+AE45+AE46+AE47</f>
        <v>13826.592980000001</v>
      </c>
      <c r="AF38" s="223">
        <f t="shared" si="46"/>
        <v>0</v>
      </c>
      <c r="AG38" s="223">
        <f t="shared" si="46"/>
        <v>83.092979999999997</v>
      </c>
      <c r="AH38" s="223">
        <f>AH39+AH40+AH45+AH46+AH47</f>
        <v>13743.5</v>
      </c>
      <c r="AI38" s="223">
        <f>AJ38+AK38+AL38</f>
        <v>13826.592979999999</v>
      </c>
      <c r="AJ38" s="223">
        <f t="shared" ref="AJ38:AK38" si="47">AJ39+AJ40+AJ45+AJ46+AJ47</f>
        <v>0</v>
      </c>
      <c r="AK38" s="223">
        <f t="shared" si="47"/>
        <v>83.092979999999997</v>
      </c>
      <c r="AL38" s="223">
        <f>AL39+AL40+AL45+AL46+AL47</f>
        <v>13743.5</v>
      </c>
    </row>
    <row r="39" spans="1:38" ht="36" x14ac:dyDescent="0.2">
      <c r="A39" s="89" t="s">
        <v>256</v>
      </c>
      <c r="B39" s="108" t="s">
        <v>223</v>
      </c>
      <c r="C39" s="74" t="s">
        <v>17</v>
      </c>
      <c r="D39" s="92" t="s">
        <v>7</v>
      </c>
      <c r="E39" s="204">
        <f t="shared" si="23"/>
        <v>662</v>
      </c>
      <c r="F39" s="205">
        <f t="shared" si="44"/>
        <v>0</v>
      </c>
      <c r="G39" s="205">
        <f t="shared" si="44"/>
        <v>0</v>
      </c>
      <c r="H39" s="205">
        <f t="shared" si="44"/>
        <v>662</v>
      </c>
      <c r="I39" s="901">
        <f t="shared" si="25"/>
        <v>662</v>
      </c>
      <c r="J39" s="913"/>
      <c r="K39" s="913">
        <v>0</v>
      </c>
      <c r="L39" s="913">
        <v>662</v>
      </c>
      <c r="M39" s="901">
        <f t="shared" si="35"/>
        <v>0</v>
      </c>
      <c r="N39" s="901"/>
      <c r="O39" s="889">
        <v>0</v>
      </c>
      <c r="P39" s="890">
        <v>0</v>
      </c>
      <c r="Q39" s="903">
        <f t="shared" si="40"/>
        <v>0</v>
      </c>
      <c r="R39" s="903"/>
      <c r="S39" s="893">
        <v>0</v>
      </c>
      <c r="T39" s="893">
        <v>0</v>
      </c>
      <c r="U39" s="205">
        <f t="shared" si="36"/>
        <v>0</v>
      </c>
      <c r="V39" s="205"/>
      <c r="W39" s="213">
        <v>0</v>
      </c>
      <c r="X39" s="703">
        <v>0</v>
      </c>
      <c r="Y39" s="654">
        <f>Z39+AA39+AB39</f>
        <v>0</v>
      </c>
      <c r="Z39" s="707"/>
      <c r="AA39" s="222">
        <v>0</v>
      </c>
      <c r="AB39" s="707"/>
      <c r="AC39" s="124"/>
      <c r="AD39" s="124"/>
      <c r="AE39" s="710">
        <f>AF39+AG39+AH39</f>
        <v>0</v>
      </c>
      <c r="AF39" s="687"/>
      <c r="AG39" s="687"/>
      <c r="AH39" s="944"/>
      <c r="AI39" s="1090">
        <f t="shared" si="38"/>
        <v>0</v>
      </c>
      <c r="AJ39" s="1090"/>
      <c r="AK39" s="1084"/>
      <c r="AL39" s="958"/>
    </row>
    <row r="40" spans="1:38" ht="48" x14ac:dyDescent="0.2">
      <c r="A40" s="819" t="s">
        <v>191</v>
      </c>
      <c r="B40" s="108" t="s">
        <v>224</v>
      </c>
      <c r="C40" s="108" t="s">
        <v>391</v>
      </c>
      <c r="D40" s="820" t="s">
        <v>7</v>
      </c>
      <c r="E40" s="204">
        <f t="shared" si="23"/>
        <v>875</v>
      </c>
      <c r="F40" s="205">
        <f t="shared" si="44"/>
        <v>0</v>
      </c>
      <c r="G40" s="205">
        <f t="shared" si="44"/>
        <v>0</v>
      </c>
      <c r="H40" s="205">
        <f t="shared" si="44"/>
        <v>875</v>
      </c>
      <c r="I40" s="901">
        <f t="shared" si="25"/>
        <v>135</v>
      </c>
      <c r="J40" s="901"/>
      <c r="K40" s="901">
        <f>K41+K43</f>
        <v>0</v>
      </c>
      <c r="L40" s="901">
        <f>L41+L43</f>
        <v>135</v>
      </c>
      <c r="M40" s="901">
        <f t="shared" si="35"/>
        <v>0</v>
      </c>
      <c r="N40" s="901">
        <f>N41+N43</f>
        <v>0</v>
      </c>
      <c r="O40" s="901">
        <f>O41+O43</f>
        <v>0</v>
      </c>
      <c r="P40" s="901">
        <f>P41+P43</f>
        <v>0</v>
      </c>
      <c r="Q40" s="901">
        <f>R40+S40+T40</f>
        <v>100</v>
      </c>
      <c r="R40" s="901">
        <f>R41+R43</f>
        <v>0</v>
      </c>
      <c r="S40" s="901">
        <f>S41+S43</f>
        <v>0</v>
      </c>
      <c r="T40" s="901">
        <f>T41+T42+T44</f>
        <v>100</v>
      </c>
      <c r="U40" s="204">
        <f t="shared" si="36"/>
        <v>640</v>
      </c>
      <c r="V40" s="204">
        <f t="shared" ref="V40:W40" si="48">V41+V42+V44</f>
        <v>0</v>
      </c>
      <c r="W40" s="204">
        <f t="shared" si="48"/>
        <v>0</v>
      </c>
      <c r="X40" s="204">
        <f>X41+X42+X44</f>
        <v>640</v>
      </c>
      <c r="Y40" s="654">
        <f>Z40+AA40+AB40</f>
        <v>0</v>
      </c>
      <c r="Z40" s="707"/>
      <c r="AA40" s="204">
        <f>AA41+AA43</f>
        <v>0</v>
      </c>
      <c r="AB40" s="707"/>
      <c r="AC40" s="124"/>
      <c r="AD40" s="124"/>
      <c r="AE40" s="710">
        <f>AF40+AG40+AH40</f>
        <v>0</v>
      </c>
      <c r="AF40" s="204">
        <f t="shared" ref="AF40:AG40" si="49">AF41+AF44</f>
        <v>0</v>
      </c>
      <c r="AG40" s="204">
        <f t="shared" si="49"/>
        <v>0</v>
      </c>
      <c r="AH40" s="220">
        <f>AH41+AH44</f>
        <v>0</v>
      </c>
      <c r="AI40" s="1090">
        <f t="shared" si="38"/>
        <v>0</v>
      </c>
      <c r="AJ40" s="1090"/>
      <c r="AK40" s="1084"/>
      <c r="AL40" s="958"/>
    </row>
    <row r="41" spans="1:38" ht="60" customHeight="1" x14ac:dyDescent="0.2">
      <c r="A41" s="819"/>
      <c r="B41" s="821" t="s">
        <v>10</v>
      </c>
      <c r="C41" s="822" t="s">
        <v>17</v>
      </c>
      <c r="D41" s="108"/>
      <c r="E41" s="204">
        <f t="shared" si="23"/>
        <v>100</v>
      </c>
      <c r="F41" s="205">
        <f t="shared" si="44"/>
        <v>0</v>
      </c>
      <c r="G41" s="205">
        <f t="shared" si="44"/>
        <v>0</v>
      </c>
      <c r="H41" s="205">
        <f t="shared" si="44"/>
        <v>100</v>
      </c>
      <c r="I41" s="901">
        <f>J41+K41+L41</f>
        <v>100</v>
      </c>
      <c r="J41" s="913"/>
      <c r="K41" s="913"/>
      <c r="L41" s="895">
        <v>100</v>
      </c>
      <c r="M41" s="918"/>
      <c r="N41" s="918"/>
      <c r="O41" s="918"/>
      <c r="P41" s="918"/>
      <c r="Q41" s="901">
        <f t="shared" si="40"/>
        <v>0</v>
      </c>
      <c r="R41" s="889"/>
      <c r="S41" s="889"/>
      <c r="T41" s="889">
        <v>0</v>
      </c>
      <c r="U41" s="204">
        <f>V41+W41+X41</f>
        <v>0</v>
      </c>
      <c r="V41" s="227"/>
      <c r="W41" s="227"/>
      <c r="X41" s="703">
        <v>0</v>
      </c>
      <c r="Y41" s="654">
        <f t="shared" ref="Y41:Y47" si="50">Z41+AA41+AB41</f>
        <v>0</v>
      </c>
      <c r="Z41" s="707"/>
      <c r="AA41" s="227"/>
      <c r="AB41" s="707"/>
      <c r="AC41" s="124"/>
      <c r="AD41" s="124"/>
      <c r="AE41" s="710">
        <f t="shared" ref="AE41:AE47" si="51">AF41+AG41+AH41</f>
        <v>0</v>
      </c>
      <c r="AF41" s="688"/>
      <c r="AG41" s="688"/>
      <c r="AH41" s="945"/>
      <c r="AI41" s="1090">
        <f t="shared" si="38"/>
        <v>0</v>
      </c>
      <c r="AJ41" s="1090"/>
      <c r="AK41" s="1084"/>
      <c r="AL41" s="958"/>
    </row>
    <row r="42" spans="1:38" s="78" customFormat="1" ht="33" customHeight="1" x14ac:dyDescent="0.2">
      <c r="A42" s="819"/>
      <c r="B42" s="863" t="s">
        <v>573</v>
      </c>
      <c r="C42" s="822" t="s">
        <v>17</v>
      </c>
      <c r="D42" s="108"/>
      <c r="E42" s="204">
        <f t="shared" si="23"/>
        <v>250</v>
      </c>
      <c r="F42" s="205">
        <f t="shared" si="44"/>
        <v>0</v>
      </c>
      <c r="G42" s="205">
        <f t="shared" si="44"/>
        <v>0</v>
      </c>
      <c r="H42" s="205">
        <f t="shared" si="44"/>
        <v>250</v>
      </c>
      <c r="I42" s="901"/>
      <c r="J42" s="913"/>
      <c r="K42" s="913"/>
      <c r="L42" s="895"/>
      <c r="M42" s="889"/>
      <c r="N42" s="889"/>
      <c r="O42" s="889"/>
      <c r="P42" s="889"/>
      <c r="Q42" s="901"/>
      <c r="R42" s="889"/>
      <c r="S42" s="889"/>
      <c r="T42" s="889"/>
      <c r="U42" s="204">
        <f>V42+W42+X42</f>
        <v>250</v>
      </c>
      <c r="V42" s="227"/>
      <c r="W42" s="227"/>
      <c r="X42" s="703">
        <v>250</v>
      </c>
      <c r="Y42" s="207"/>
      <c r="Z42" s="227"/>
      <c r="AA42" s="227"/>
      <c r="AB42" s="227"/>
      <c r="AC42" s="174"/>
      <c r="AD42" s="174"/>
      <c r="AE42" s="743"/>
      <c r="AF42" s="234"/>
      <c r="AG42" s="234"/>
      <c r="AH42" s="947"/>
      <c r="AI42" s="1090">
        <f t="shared" si="38"/>
        <v>0</v>
      </c>
      <c r="AJ42" s="1090"/>
      <c r="AK42" s="1084"/>
      <c r="AL42" s="958"/>
    </row>
    <row r="43" spans="1:38" ht="64.900000000000006" customHeight="1" x14ac:dyDescent="0.2">
      <c r="A43" s="819"/>
      <c r="B43" s="831" t="s">
        <v>202</v>
      </c>
      <c r="C43" s="822" t="s">
        <v>63</v>
      </c>
      <c r="D43" s="108"/>
      <c r="E43" s="204">
        <f t="shared" si="23"/>
        <v>35</v>
      </c>
      <c r="F43" s="205">
        <f t="shared" si="44"/>
        <v>0</v>
      </c>
      <c r="G43" s="205">
        <f t="shared" si="44"/>
        <v>0</v>
      </c>
      <c r="H43" s="205">
        <f t="shared" si="44"/>
        <v>35</v>
      </c>
      <c r="I43" s="901">
        <f>J43+K43+L43</f>
        <v>35</v>
      </c>
      <c r="J43" s="913"/>
      <c r="K43" s="913"/>
      <c r="L43" s="895">
        <v>35</v>
      </c>
      <c r="M43" s="918"/>
      <c r="N43" s="918"/>
      <c r="O43" s="918"/>
      <c r="P43" s="918"/>
      <c r="Q43" s="901">
        <f t="shared" si="40"/>
        <v>0</v>
      </c>
      <c r="R43" s="889"/>
      <c r="S43" s="889"/>
      <c r="T43" s="889"/>
      <c r="U43" s="204">
        <f t="shared" si="36"/>
        <v>0</v>
      </c>
      <c r="V43" s="227"/>
      <c r="W43" s="227"/>
      <c r="X43" s="703"/>
      <c r="Y43" s="654">
        <f t="shared" si="50"/>
        <v>0</v>
      </c>
      <c r="Z43" s="233"/>
      <c r="AA43" s="227"/>
      <c r="AB43" s="233"/>
      <c r="AC43" s="124"/>
      <c r="AD43" s="124"/>
      <c r="AE43" s="710">
        <f t="shared" si="51"/>
        <v>0</v>
      </c>
      <c r="AF43" s="688"/>
      <c r="AG43" s="688"/>
      <c r="AH43" s="945"/>
      <c r="AI43" s="1090">
        <f t="shared" si="38"/>
        <v>0</v>
      </c>
      <c r="AJ43" s="1090"/>
      <c r="AK43" s="1084"/>
      <c r="AL43" s="958"/>
    </row>
    <row r="44" spans="1:38" ht="48" customHeight="1" x14ac:dyDescent="0.2">
      <c r="A44" s="819"/>
      <c r="B44" s="866" t="s">
        <v>658</v>
      </c>
      <c r="C44" s="824" t="s">
        <v>472</v>
      </c>
      <c r="D44" s="108"/>
      <c r="E44" s="204">
        <f t="shared" si="23"/>
        <v>490</v>
      </c>
      <c r="F44" s="205">
        <f t="shared" si="44"/>
        <v>0</v>
      </c>
      <c r="G44" s="205">
        <f t="shared" si="44"/>
        <v>0</v>
      </c>
      <c r="H44" s="205">
        <f t="shared" si="44"/>
        <v>490</v>
      </c>
      <c r="I44" s="901"/>
      <c r="J44" s="913"/>
      <c r="K44" s="913"/>
      <c r="L44" s="895"/>
      <c r="M44" s="918"/>
      <c r="N44" s="918"/>
      <c r="O44" s="918"/>
      <c r="P44" s="918"/>
      <c r="Q44" s="901">
        <f t="shared" si="40"/>
        <v>100</v>
      </c>
      <c r="R44" s="889"/>
      <c r="S44" s="889"/>
      <c r="T44" s="889">
        <v>100</v>
      </c>
      <c r="U44" s="204">
        <f t="shared" si="36"/>
        <v>390</v>
      </c>
      <c r="V44" s="227"/>
      <c r="W44" s="227"/>
      <c r="X44" s="703">
        <v>390</v>
      </c>
      <c r="Y44" s="654">
        <f t="shared" si="50"/>
        <v>0</v>
      </c>
      <c r="Z44" s="233"/>
      <c r="AA44" s="227"/>
      <c r="AB44" s="233"/>
      <c r="AC44" s="124"/>
      <c r="AD44" s="124"/>
      <c r="AE44" s="710">
        <f t="shared" si="51"/>
        <v>0</v>
      </c>
      <c r="AF44" s="688"/>
      <c r="AG44" s="688"/>
      <c r="AH44" s="945"/>
      <c r="AI44" s="1090">
        <f t="shared" si="38"/>
        <v>0</v>
      </c>
      <c r="AJ44" s="1090"/>
      <c r="AK44" s="1084"/>
      <c r="AL44" s="958"/>
    </row>
    <row r="45" spans="1:38" ht="42.75" customHeight="1" x14ac:dyDescent="0.2">
      <c r="A45" s="819" t="s">
        <v>613</v>
      </c>
      <c r="B45" s="866" t="s">
        <v>614</v>
      </c>
      <c r="C45" s="822" t="s">
        <v>17</v>
      </c>
      <c r="D45" s="108"/>
      <c r="E45" s="204">
        <f t="shared" si="23"/>
        <v>348.13</v>
      </c>
      <c r="F45" s="205">
        <f t="shared" si="44"/>
        <v>0</v>
      </c>
      <c r="G45" s="205">
        <f t="shared" si="44"/>
        <v>0</v>
      </c>
      <c r="H45" s="205">
        <f t="shared" si="44"/>
        <v>348.13</v>
      </c>
      <c r="I45" s="901"/>
      <c r="J45" s="913"/>
      <c r="K45" s="913"/>
      <c r="L45" s="895"/>
      <c r="M45" s="918"/>
      <c r="N45" s="918"/>
      <c r="O45" s="918"/>
      <c r="P45" s="918"/>
      <c r="Q45" s="901"/>
      <c r="R45" s="889"/>
      <c r="S45" s="889"/>
      <c r="T45" s="889"/>
      <c r="U45" s="204">
        <f t="shared" si="36"/>
        <v>348.13</v>
      </c>
      <c r="V45" s="227"/>
      <c r="W45" s="227"/>
      <c r="X45" s="703">
        <v>348.13</v>
      </c>
      <c r="Y45" s="654">
        <f t="shared" si="50"/>
        <v>0</v>
      </c>
      <c r="Z45" s="233"/>
      <c r="AA45" s="227"/>
      <c r="AB45" s="233"/>
      <c r="AC45" s="124"/>
      <c r="AD45" s="124"/>
      <c r="AE45" s="710">
        <f t="shared" si="51"/>
        <v>0</v>
      </c>
      <c r="AF45" s="688"/>
      <c r="AG45" s="688"/>
      <c r="AH45" s="945"/>
      <c r="AI45" s="1090">
        <f t="shared" si="38"/>
        <v>0</v>
      </c>
      <c r="AJ45" s="1090"/>
      <c r="AK45" s="1084"/>
      <c r="AL45" s="958"/>
    </row>
    <row r="46" spans="1:38" ht="49.5" customHeight="1" x14ac:dyDescent="0.2">
      <c r="A46" s="819" t="s">
        <v>643</v>
      </c>
      <c r="B46" s="1109" t="s">
        <v>584</v>
      </c>
      <c r="C46" s="1111" t="s">
        <v>457</v>
      </c>
      <c r="D46" s="108"/>
      <c r="E46" s="204">
        <f t="shared" ref="E46:E47" si="52">I46+M46+Q46+U46+Y46+AE46+AI46</f>
        <v>52512.555</v>
      </c>
      <c r="F46" s="204">
        <f t="shared" si="44"/>
        <v>0</v>
      </c>
      <c r="G46" s="204">
        <f t="shared" si="44"/>
        <v>0</v>
      </c>
      <c r="H46" s="204">
        <f t="shared" si="44"/>
        <v>52512.555</v>
      </c>
      <c r="I46" s="901"/>
      <c r="J46" s="913"/>
      <c r="K46" s="913"/>
      <c r="L46" s="895"/>
      <c r="M46" s="918"/>
      <c r="N46" s="918"/>
      <c r="O46" s="918"/>
      <c r="P46" s="918"/>
      <c r="Q46" s="901"/>
      <c r="R46" s="889"/>
      <c r="S46" s="889"/>
      <c r="T46" s="889"/>
      <c r="U46" s="204">
        <f>V46+W46+X46</f>
        <v>11295.255000000001</v>
      </c>
      <c r="V46" s="227"/>
      <c r="W46" s="227"/>
      <c r="X46" s="703">
        <f>12130.2-588.5-246.445</f>
        <v>11295.255000000001</v>
      </c>
      <c r="Y46" s="654">
        <f t="shared" si="50"/>
        <v>13739.1</v>
      </c>
      <c r="Z46" s="233"/>
      <c r="AA46" s="227"/>
      <c r="AB46" s="707">
        <v>13739.1</v>
      </c>
      <c r="AC46" s="124"/>
      <c r="AD46" s="124"/>
      <c r="AE46" s="710">
        <f t="shared" si="51"/>
        <v>13739.1</v>
      </c>
      <c r="AF46" s="688"/>
      <c r="AG46" s="688"/>
      <c r="AH46" s="943">
        <v>13739.1</v>
      </c>
      <c r="AI46" s="1085">
        <f t="shared" si="38"/>
        <v>13739.1</v>
      </c>
      <c r="AJ46" s="1085"/>
      <c r="AK46" s="1085"/>
      <c r="AL46" s="1085">
        <v>13739.1</v>
      </c>
    </row>
    <row r="47" spans="1:38" ht="49.5" customHeight="1" x14ac:dyDescent="0.2">
      <c r="A47" s="819" t="s">
        <v>644</v>
      </c>
      <c r="B47" s="1109" t="s">
        <v>642</v>
      </c>
      <c r="C47" s="1110"/>
      <c r="D47" s="108"/>
      <c r="E47" s="204">
        <f t="shared" si="52"/>
        <v>262.47894000000002</v>
      </c>
      <c r="F47" s="204"/>
      <c r="G47" s="204"/>
      <c r="H47" s="204"/>
      <c r="I47" s="901"/>
      <c r="J47" s="913"/>
      <c r="K47" s="913"/>
      <c r="L47" s="895"/>
      <c r="M47" s="918"/>
      <c r="N47" s="918"/>
      <c r="O47" s="918"/>
      <c r="P47" s="918"/>
      <c r="Q47" s="901"/>
      <c r="R47" s="889"/>
      <c r="S47" s="889"/>
      <c r="T47" s="889"/>
      <c r="U47" s="204"/>
      <c r="V47" s="227"/>
      <c r="W47" s="227"/>
      <c r="X47" s="703"/>
      <c r="Y47" s="654">
        <f t="shared" si="50"/>
        <v>87.492980000000003</v>
      </c>
      <c r="Z47" s="233"/>
      <c r="AA47" s="207">
        <v>83.092979999999997</v>
      </c>
      <c r="AB47" s="707">
        <v>4.4000000000000004</v>
      </c>
      <c r="AC47" s="124"/>
      <c r="AD47" s="124"/>
      <c r="AE47" s="710">
        <f t="shared" si="51"/>
        <v>87.492980000000003</v>
      </c>
      <c r="AF47" s="688"/>
      <c r="AG47" s="708">
        <v>83.092979999999997</v>
      </c>
      <c r="AH47" s="943">
        <v>4.4000000000000004</v>
      </c>
      <c r="AI47" s="710">
        <f t="shared" si="38"/>
        <v>87.492980000000003</v>
      </c>
      <c r="AJ47" s="1085"/>
      <c r="AK47" s="710">
        <v>83.092979999999997</v>
      </c>
      <c r="AL47" s="1085">
        <v>4.4000000000000004</v>
      </c>
    </row>
    <row r="48" spans="1:38" ht="54.75" customHeight="1" x14ac:dyDescent="0.2">
      <c r="A48" s="86" t="s">
        <v>193</v>
      </c>
      <c r="B48" s="109" t="s">
        <v>225</v>
      </c>
      <c r="C48" s="110"/>
      <c r="D48" s="111" t="s">
        <v>7</v>
      </c>
      <c r="E48" s="202">
        <f>F48+G48+H48</f>
        <v>4719.1545999999998</v>
      </c>
      <c r="F48" s="202">
        <f t="shared" si="44"/>
        <v>0</v>
      </c>
      <c r="G48" s="202">
        <f t="shared" si="44"/>
        <v>0</v>
      </c>
      <c r="H48" s="202">
        <f>L48+P48+T48+X48+AB48+AH48+AL48</f>
        <v>4719.1545999999998</v>
      </c>
      <c r="I48" s="920">
        <f>J48+K48+L48</f>
        <v>641.4</v>
      </c>
      <c r="J48" s="921">
        <f>J49</f>
        <v>0</v>
      </c>
      <c r="K48" s="921">
        <f>K49</f>
        <v>0</v>
      </c>
      <c r="L48" s="921">
        <f>L49</f>
        <v>641.4</v>
      </c>
      <c r="M48" s="920">
        <f>N48+O48+P48</f>
        <v>603</v>
      </c>
      <c r="N48" s="921">
        <f>N49</f>
        <v>0</v>
      </c>
      <c r="O48" s="921">
        <f>O49</f>
        <v>0</v>
      </c>
      <c r="P48" s="921">
        <f>P49</f>
        <v>603</v>
      </c>
      <c r="Q48" s="920">
        <f>R48+S48+T48</f>
        <v>589.3546</v>
      </c>
      <c r="R48" s="921">
        <f>R49</f>
        <v>0</v>
      </c>
      <c r="S48" s="921">
        <f>S49</f>
        <v>0</v>
      </c>
      <c r="T48" s="921">
        <f>T49</f>
        <v>589.3546</v>
      </c>
      <c r="U48" s="202">
        <f>V48+W48+X48</f>
        <v>635.4</v>
      </c>
      <c r="V48" s="225">
        <f>V49</f>
        <v>0</v>
      </c>
      <c r="W48" s="225">
        <f>W49</f>
        <v>0</v>
      </c>
      <c r="X48" s="225">
        <f>X49</f>
        <v>635.4</v>
      </c>
      <c r="Y48" s="202">
        <f>Z48+AA48+AB48</f>
        <v>750</v>
      </c>
      <c r="Z48" s="225">
        <f>Z49</f>
        <v>0</v>
      </c>
      <c r="AA48" s="225">
        <f>AA49</f>
        <v>0</v>
      </c>
      <c r="AB48" s="225">
        <f>AB49</f>
        <v>750</v>
      </c>
      <c r="AC48" s="814"/>
      <c r="AD48" s="814"/>
      <c r="AE48" s="202">
        <f>AF48+AG48+AH48</f>
        <v>750</v>
      </c>
      <c r="AF48" s="225">
        <f t="shared" ref="AF48:AG48" si="53">AF49</f>
        <v>0</v>
      </c>
      <c r="AG48" s="225">
        <f t="shared" si="53"/>
        <v>0</v>
      </c>
      <c r="AH48" s="948">
        <f>AH49</f>
        <v>750</v>
      </c>
      <c r="AI48" s="1083">
        <f>AJ48+AK48+AL48</f>
        <v>750</v>
      </c>
      <c r="AJ48" s="960"/>
      <c r="AK48" s="960"/>
      <c r="AL48" s="1083">
        <f>AL50+AL51+AL52+AL53+AL54+AL55+AL56</f>
        <v>750</v>
      </c>
    </row>
    <row r="49" spans="1:38" ht="12.75" hidden="1" customHeight="1" x14ac:dyDescent="0.2">
      <c r="A49" s="130" t="s">
        <v>53</v>
      </c>
      <c r="B49" s="131" t="s">
        <v>262</v>
      </c>
      <c r="C49" s="132"/>
      <c r="D49" s="133"/>
      <c r="E49" s="226">
        <f>F49+G49+H49</f>
        <v>3969.1546000000003</v>
      </c>
      <c r="F49" s="226">
        <f>SUM(F50:F56)</f>
        <v>0</v>
      </c>
      <c r="G49" s="226">
        <f>SUM(G50:G56)</f>
        <v>0</v>
      </c>
      <c r="H49" s="232">
        <f t="shared" ref="H49:H64" si="54">L49+P49+T49+X49+AB49+AH49</f>
        <v>3969.1546000000003</v>
      </c>
      <c r="I49" s="919">
        <f>J49+K49+L49</f>
        <v>641.4</v>
      </c>
      <c r="J49" s="919">
        <f>SUM(J50:J56)</f>
        <v>0</v>
      </c>
      <c r="K49" s="919">
        <f>SUM(K50:K56)</f>
        <v>0</v>
      </c>
      <c r="L49" s="919">
        <f>SUM(L50:L56)</f>
        <v>641.4</v>
      </c>
      <c r="M49" s="919">
        <f>N49+O49+P49</f>
        <v>603</v>
      </c>
      <c r="N49" s="919">
        <f>SUM(N50:N56)</f>
        <v>0</v>
      </c>
      <c r="O49" s="919">
        <f>SUM(O50:O56)</f>
        <v>0</v>
      </c>
      <c r="P49" s="919">
        <f>SUM(P50:P56)</f>
        <v>603</v>
      </c>
      <c r="Q49" s="919">
        <f>R49+S49+T49</f>
        <v>589.3546</v>
      </c>
      <c r="R49" s="919">
        <f>SUM(R50:R56)</f>
        <v>0</v>
      </c>
      <c r="S49" s="919">
        <f>SUM(S50:S56)</f>
        <v>0</v>
      </c>
      <c r="T49" s="919">
        <f>SUM(T50:T57)</f>
        <v>589.3546</v>
      </c>
      <c r="U49" s="226">
        <f>V49+W49+X49</f>
        <v>635.4</v>
      </c>
      <c r="V49" s="226">
        <f>SUM(V50:V56)</f>
        <v>0</v>
      </c>
      <c r="W49" s="226">
        <f>SUM(W50:W56)</f>
        <v>0</v>
      </c>
      <c r="X49" s="204">
        <f>SUM(X50:X56)</f>
        <v>635.4</v>
      </c>
      <c r="Y49" s="202">
        <f t="shared" ref="Y49:Y56" si="55">Z49+AA49+AB49</f>
        <v>750</v>
      </c>
      <c r="Z49" s="204">
        <f>SUM(Z50:Z56)</f>
        <v>0</v>
      </c>
      <c r="AA49" s="204">
        <f>SUM(AA50:AA56)</f>
        <v>0</v>
      </c>
      <c r="AB49" s="204">
        <f>SUM(AB50:AB56)</f>
        <v>750</v>
      </c>
      <c r="AC49" s="124"/>
      <c r="AD49" s="124"/>
      <c r="AE49" s="204">
        <f>AF49+AG49+AH49</f>
        <v>750</v>
      </c>
      <c r="AF49" s="204">
        <f t="shared" ref="AF49:AG49" si="56">SUM(AF50:AF56)</f>
        <v>0</v>
      </c>
      <c r="AG49" s="204">
        <f t="shared" si="56"/>
        <v>0</v>
      </c>
      <c r="AH49" s="220">
        <f>SUM(AH50:AH56)</f>
        <v>750</v>
      </c>
      <c r="AI49" s="1082"/>
      <c r="AJ49" s="958"/>
      <c r="AK49" s="958"/>
      <c r="AL49" s="1082"/>
    </row>
    <row r="50" spans="1:38" ht="75" customHeight="1" x14ac:dyDescent="0.2">
      <c r="A50" s="89" t="s">
        <v>53</v>
      </c>
      <c r="B50" s="74" t="s">
        <v>226</v>
      </c>
      <c r="C50" s="90" t="s">
        <v>187</v>
      </c>
      <c r="D50" s="90"/>
      <c r="E50" s="204">
        <f t="shared" ref="E50:E61" si="57">F50+G50+H50</f>
        <v>900</v>
      </c>
      <c r="F50" s="204">
        <f t="shared" ref="F50:H56" si="58">J50+N50+R50+V50+Z50+AF50+AJ50</f>
        <v>0</v>
      </c>
      <c r="G50" s="204">
        <f t="shared" si="58"/>
        <v>0</v>
      </c>
      <c r="H50" s="204">
        <f>L50+P50+T50+X50+AB50+AH50+AL50</f>
        <v>900</v>
      </c>
      <c r="I50" s="901">
        <f>J50+K50+L50</f>
        <v>50</v>
      </c>
      <c r="J50" s="901"/>
      <c r="K50" s="901"/>
      <c r="L50" s="913">
        <v>50</v>
      </c>
      <c r="M50" s="889">
        <f t="shared" ref="M50:M59" si="59">N50+O50+P50</f>
        <v>35</v>
      </c>
      <c r="N50" s="889"/>
      <c r="O50" s="890"/>
      <c r="P50" s="890">
        <v>35</v>
      </c>
      <c r="Q50" s="893">
        <f t="shared" ref="Q50:Q59" si="60">R50+S50+T50</f>
        <v>35</v>
      </c>
      <c r="R50" s="893"/>
      <c r="S50" s="893"/>
      <c r="T50" s="893">
        <v>35</v>
      </c>
      <c r="U50" s="209">
        <f t="shared" ref="U50:U59" si="61">V50+W50+X50</f>
        <v>195</v>
      </c>
      <c r="V50" s="209"/>
      <c r="W50" s="209"/>
      <c r="X50" s="222">
        <v>195</v>
      </c>
      <c r="Y50" s="204">
        <f t="shared" si="55"/>
        <v>195</v>
      </c>
      <c r="Z50" s="233"/>
      <c r="AA50" s="207"/>
      <c r="AB50" s="207">
        <v>195</v>
      </c>
      <c r="AC50" s="124"/>
      <c r="AD50" s="124"/>
      <c r="AE50" s="708">
        <f>AF50+AG50+AH50</f>
        <v>195</v>
      </c>
      <c r="AF50" s="688"/>
      <c r="AG50" s="688"/>
      <c r="AH50" s="342">
        <v>195</v>
      </c>
      <c r="AI50" s="1082">
        <f>AJ50+AK50+AL50</f>
        <v>195</v>
      </c>
      <c r="AJ50" s="958"/>
      <c r="AK50" s="958"/>
      <c r="AL50" s="1082">
        <v>195</v>
      </c>
    </row>
    <row r="51" spans="1:38" ht="72.75" customHeight="1" x14ac:dyDescent="0.2">
      <c r="A51" s="89" t="s">
        <v>289</v>
      </c>
      <c r="B51" s="90" t="s">
        <v>227</v>
      </c>
      <c r="C51" s="90" t="s">
        <v>187</v>
      </c>
      <c r="D51" s="90"/>
      <c r="E51" s="204">
        <f t="shared" si="57"/>
        <v>113</v>
      </c>
      <c r="F51" s="204">
        <f t="shared" si="58"/>
        <v>0</v>
      </c>
      <c r="G51" s="204">
        <f t="shared" si="58"/>
        <v>0</v>
      </c>
      <c r="H51" s="204">
        <f t="shared" si="58"/>
        <v>113</v>
      </c>
      <c r="I51" s="901">
        <f t="shared" ref="I51:I58" si="62">J51+K51+L51</f>
        <v>15</v>
      </c>
      <c r="J51" s="901"/>
      <c r="K51" s="901"/>
      <c r="L51" s="913">
        <v>15</v>
      </c>
      <c r="M51" s="889">
        <f t="shared" si="59"/>
        <v>15</v>
      </c>
      <c r="N51" s="889"/>
      <c r="O51" s="890"/>
      <c r="P51" s="890">
        <v>15</v>
      </c>
      <c r="Q51" s="893">
        <f t="shared" si="60"/>
        <v>15</v>
      </c>
      <c r="R51" s="893"/>
      <c r="S51" s="893"/>
      <c r="T51" s="893">
        <v>15</v>
      </c>
      <c r="U51" s="209">
        <f t="shared" si="61"/>
        <v>17</v>
      </c>
      <c r="V51" s="209"/>
      <c r="W51" s="209"/>
      <c r="X51" s="222">
        <v>17</v>
      </c>
      <c r="Y51" s="204">
        <f t="shared" si="55"/>
        <v>17</v>
      </c>
      <c r="Z51" s="233"/>
      <c r="AA51" s="207"/>
      <c r="AB51" s="207">
        <v>17</v>
      </c>
      <c r="AC51" s="124"/>
      <c r="AD51" s="124"/>
      <c r="AE51" s="708">
        <f t="shared" ref="AE51:AE56" si="63">AF51+AG51+AH51</f>
        <v>17</v>
      </c>
      <c r="AF51" s="688"/>
      <c r="AG51" s="688"/>
      <c r="AH51" s="342">
        <v>17</v>
      </c>
      <c r="AI51" s="1082">
        <f t="shared" ref="AI51:AI56" si="64">AJ51+AK51+AL51</f>
        <v>17</v>
      </c>
      <c r="AJ51" s="958"/>
      <c r="AK51" s="958"/>
      <c r="AL51" s="1082">
        <v>17</v>
      </c>
    </row>
    <row r="52" spans="1:38" ht="72.75" customHeight="1" x14ac:dyDescent="0.2">
      <c r="A52" s="89" t="s">
        <v>321</v>
      </c>
      <c r="B52" s="90" t="s">
        <v>228</v>
      </c>
      <c r="C52" s="90" t="s">
        <v>187</v>
      </c>
      <c r="D52" s="90"/>
      <c r="E52" s="204">
        <f t="shared" si="57"/>
        <v>1199.7546</v>
      </c>
      <c r="F52" s="204">
        <f t="shared" si="58"/>
        <v>0</v>
      </c>
      <c r="G52" s="204">
        <f t="shared" si="58"/>
        <v>0</v>
      </c>
      <c r="H52" s="204">
        <f t="shared" si="58"/>
        <v>1199.7546</v>
      </c>
      <c r="I52" s="901">
        <f t="shared" si="62"/>
        <v>115.4</v>
      </c>
      <c r="J52" s="901"/>
      <c r="K52" s="901"/>
      <c r="L52" s="913">
        <v>115.4</v>
      </c>
      <c r="M52" s="889">
        <f t="shared" si="59"/>
        <v>117</v>
      </c>
      <c r="N52" s="889"/>
      <c r="O52" s="890"/>
      <c r="P52" s="890">
        <v>117</v>
      </c>
      <c r="Q52" s="893">
        <f t="shared" si="60"/>
        <v>103.3546</v>
      </c>
      <c r="R52" s="893"/>
      <c r="S52" s="893"/>
      <c r="T52" s="893">
        <v>103.3546</v>
      </c>
      <c r="U52" s="209">
        <f t="shared" si="61"/>
        <v>216</v>
      </c>
      <c r="V52" s="209"/>
      <c r="W52" s="209"/>
      <c r="X52" s="222">
        <v>216</v>
      </c>
      <c r="Y52" s="204">
        <f t="shared" si="55"/>
        <v>216</v>
      </c>
      <c r="Z52" s="233"/>
      <c r="AA52" s="207"/>
      <c r="AB52" s="207">
        <v>216</v>
      </c>
      <c r="AC52" s="124"/>
      <c r="AD52" s="124"/>
      <c r="AE52" s="708">
        <f t="shared" si="63"/>
        <v>216</v>
      </c>
      <c r="AF52" s="688"/>
      <c r="AG52" s="688"/>
      <c r="AH52" s="342">
        <v>216</v>
      </c>
      <c r="AI52" s="1082">
        <f t="shared" si="64"/>
        <v>216</v>
      </c>
      <c r="AJ52" s="958"/>
      <c r="AK52" s="958"/>
      <c r="AL52" s="1082">
        <v>216</v>
      </c>
    </row>
    <row r="53" spans="1:38" ht="68.25" customHeight="1" x14ac:dyDescent="0.2">
      <c r="A53" s="89" t="s">
        <v>322</v>
      </c>
      <c r="B53" s="90" t="s">
        <v>229</v>
      </c>
      <c r="C53" s="90" t="s">
        <v>187</v>
      </c>
      <c r="D53" s="90"/>
      <c r="E53" s="204">
        <f t="shared" si="57"/>
        <v>417</v>
      </c>
      <c r="F53" s="204">
        <f t="shared" si="58"/>
        <v>0</v>
      </c>
      <c r="G53" s="204">
        <f t="shared" si="58"/>
        <v>0</v>
      </c>
      <c r="H53" s="204">
        <f t="shared" si="58"/>
        <v>417</v>
      </c>
      <c r="I53" s="901">
        <f t="shared" si="62"/>
        <v>139</v>
      </c>
      <c r="J53" s="901"/>
      <c r="K53" s="901"/>
      <c r="L53" s="913">
        <v>139</v>
      </c>
      <c r="M53" s="889">
        <f t="shared" si="59"/>
        <v>139</v>
      </c>
      <c r="N53" s="889"/>
      <c r="O53" s="890"/>
      <c r="P53" s="890">
        <v>139</v>
      </c>
      <c r="Q53" s="893">
        <f t="shared" si="60"/>
        <v>139</v>
      </c>
      <c r="R53" s="893"/>
      <c r="S53" s="893"/>
      <c r="T53" s="893">
        <v>139</v>
      </c>
      <c r="U53" s="209">
        <f t="shared" si="61"/>
        <v>0</v>
      </c>
      <c r="V53" s="209"/>
      <c r="W53" s="209"/>
      <c r="X53" s="222">
        <v>0</v>
      </c>
      <c r="Y53" s="204">
        <f t="shared" si="55"/>
        <v>0</v>
      </c>
      <c r="Z53" s="233"/>
      <c r="AA53" s="207"/>
      <c r="AB53" s="207">
        <v>0</v>
      </c>
      <c r="AC53" s="124"/>
      <c r="AD53" s="124"/>
      <c r="AE53" s="708">
        <f t="shared" si="63"/>
        <v>0</v>
      </c>
      <c r="AF53" s="688"/>
      <c r="AG53" s="688"/>
      <c r="AH53" s="342">
        <v>0</v>
      </c>
      <c r="AI53" s="1082">
        <f t="shared" si="64"/>
        <v>0</v>
      </c>
      <c r="AJ53" s="958"/>
      <c r="AK53" s="958"/>
      <c r="AL53" s="1082"/>
    </row>
    <row r="54" spans="1:38" ht="84.75" customHeight="1" x14ac:dyDescent="0.2">
      <c r="A54" s="89" t="s">
        <v>323</v>
      </c>
      <c r="B54" s="90" t="s">
        <v>230</v>
      </c>
      <c r="C54" s="108" t="s">
        <v>187</v>
      </c>
      <c r="D54" s="90"/>
      <c r="E54" s="204">
        <f t="shared" si="57"/>
        <v>1156.5999999999999</v>
      </c>
      <c r="F54" s="204">
        <f t="shared" si="58"/>
        <v>0</v>
      </c>
      <c r="G54" s="204">
        <f t="shared" si="58"/>
        <v>0</v>
      </c>
      <c r="H54" s="204">
        <f t="shared" si="58"/>
        <v>1156.5999999999999</v>
      </c>
      <c r="I54" s="901">
        <f t="shared" si="62"/>
        <v>181.6</v>
      </c>
      <c r="J54" s="901"/>
      <c r="K54" s="909"/>
      <c r="L54" s="902">
        <v>181.6</v>
      </c>
      <c r="M54" s="889">
        <f t="shared" si="59"/>
        <v>181.6</v>
      </c>
      <c r="N54" s="889"/>
      <c r="O54" s="889"/>
      <c r="P54" s="889">
        <v>181.6</v>
      </c>
      <c r="Q54" s="893">
        <f t="shared" si="60"/>
        <v>181.6</v>
      </c>
      <c r="R54" s="893"/>
      <c r="S54" s="893"/>
      <c r="T54" s="893">
        <v>181.6</v>
      </c>
      <c r="U54" s="209">
        <f t="shared" si="61"/>
        <v>67</v>
      </c>
      <c r="V54" s="210"/>
      <c r="W54" s="210"/>
      <c r="X54" s="222">
        <f>181.6-114.6</f>
        <v>67</v>
      </c>
      <c r="Y54" s="204">
        <f t="shared" si="55"/>
        <v>181.6</v>
      </c>
      <c r="Z54" s="233"/>
      <c r="AA54" s="227"/>
      <c r="AB54" s="227">
        <v>181.6</v>
      </c>
      <c r="AC54" s="124"/>
      <c r="AD54" s="124"/>
      <c r="AE54" s="708">
        <f t="shared" si="63"/>
        <v>181.6</v>
      </c>
      <c r="AF54" s="688"/>
      <c r="AG54" s="688"/>
      <c r="AH54" s="706">
        <v>181.6</v>
      </c>
      <c r="AI54" s="1082">
        <f t="shared" si="64"/>
        <v>181.6</v>
      </c>
      <c r="AJ54" s="958"/>
      <c r="AK54" s="958"/>
      <c r="AL54" s="1082">
        <v>181.6</v>
      </c>
    </row>
    <row r="55" spans="1:38" ht="58.5" customHeight="1" x14ac:dyDescent="0.2">
      <c r="A55" s="89" t="s">
        <v>324</v>
      </c>
      <c r="B55" s="90" t="s">
        <v>231</v>
      </c>
      <c r="C55" s="90" t="s">
        <v>187</v>
      </c>
      <c r="D55" s="90"/>
      <c r="E55" s="204">
        <f t="shared" si="57"/>
        <v>313.79399999999998</v>
      </c>
      <c r="F55" s="204">
        <f t="shared" si="58"/>
        <v>0</v>
      </c>
      <c r="G55" s="204">
        <f t="shared" si="58"/>
        <v>0</v>
      </c>
      <c r="H55" s="204">
        <f t="shared" si="58"/>
        <v>313.79399999999998</v>
      </c>
      <c r="I55" s="901">
        <f t="shared" si="62"/>
        <v>40.4</v>
      </c>
      <c r="J55" s="901"/>
      <c r="K55" s="901"/>
      <c r="L55" s="913">
        <v>40.4</v>
      </c>
      <c r="M55" s="889">
        <f t="shared" si="59"/>
        <v>40.4</v>
      </c>
      <c r="N55" s="889"/>
      <c r="O55" s="922"/>
      <c r="P55" s="890">
        <v>40.4</v>
      </c>
      <c r="Q55" s="893">
        <f t="shared" si="60"/>
        <v>40.4</v>
      </c>
      <c r="R55" s="893"/>
      <c r="S55" s="893"/>
      <c r="T55" s="893">
        <v>40.4</v>
      </c>
      <c r="U55" s="209">
        <f t="shared" si="61"/>
        <v>71.394000000000005</v>
      </c>
      <c r="V55" s="210"/>
      <c r="W55" s="210"/>
      <c r="X55" s="222">
        <f>57.723+13.671</f>
        <v>71.394000000000005</v>
      </c>
      <c r="Y55" s="204">
        <f t="shared" si="55"/>
        <v>40.4</v>
      </c>
      <c r="Z55" s="233"/>
      <c r="AA55" s="227"/>
      <c r="AB55" s="227">
        <v>40.4</v>
      </c>
      <c r="AC55" s="124"/>
      <c r="AD55" s="124"/>
      <c r="AE55" s="708">
        <f t="shared" si="63"/>
        <v>40.4</v>
      </c>
      <c r="AF55" s="688"/>
      <c r="AG55" s="688"/>
      <c r="AH55" s="706">
        <v>40.4</v>
      </c>
      <c r="AI55" s="1082">
        <f t="shared" si="64"/>
        <v>40.4</v>
      </c>
      <c r="AJ55" s="958"/>
      <c r="AK55" s="958"/>
      <c r="AL55" s="1082">
        <v>40.4</v>
      </c>
    </row>
    <row r="56" spans="1:38" ht="64.150000000000006" customHeight="1" x14ac:dyDescent="0.2">
      <c r="A56" s="288" t="s">
        <v>325</v>
      </c>
      <c r="B56" s="160" t="s">
        <v>232</v>
      </c>
      <c r="C56" s="90" t="s">
        <v>187</v>
      </c>
      <c r="D56" s="91"/>
      <c r="E56" s="204">
        <f t="shared" si="57"/>
        <v>619.00599999999997</v>
      </c>
      <c r="F56" s="204">
        <f t="shared" si="58"/>
        <v>0</v>
      </c>
      <c r="G56" s="204">
        <f t="shared" si="58"/>
        <v>0</v>
      </c>
      <c r="H56" s="204">
        <f t="shared" si="58"/>
        <v>619.00599999999997</v>
      </c>
      <c r="I56" s="901">
        <f t="shared" si="62"/>
        <v>100</v>
      </c>
      <c r="J56" s="923"/>
      <c r="K56" s="923"/>
      <c r="L56" s="905">
        <v>100</v>
      </c>
      <c r="M56" s="889">
        <f t="shared" si="59"/>
        <v>75</v>
      </c>
      <c r="N56" s="889"/>
      <c r="O56" s="922"/>
      <c r="P56" s="890">
        <v>75</v>
      </c>
      <c r="Q56" s="893">
        <f t="shared" si="60"/>
        <v>75</v>
      </c>
      <c r="R56" s="893"/>
      <c r="S56" s="893"/>
      <c r="T56" s="893">
        <v>75</v>
      </c>
      <c r="U56" s="209">
        <f t="shared" si="61"/>
        <v>69.006</v>
      </c>
      <c r="V56" s="209"/>
      <c r="W56" s="209"/>
      <c r="X56" s="222">
        <f>82.677-13.671</f>
        <v>69.006</v>
      </c>
      <c r="Y56" s="204">
        <f t="shared" si="55"/>
        <v>100</v>
      </c>
      <c r="Z56" s="233"/>
      <c r="AA56" s="207"/>
      <c r="AB56" s="207">
        <v>100</v>
      </c>
      <c r="AC56" s="124"/>
      <c r="AD56" s="124"/>
      <c r="AE56" s="708">
        <f t="shared" si="63"/>
        <v>100</v>
      </c>
      <c r="AF56" s="688"/>
      <c r="AG56" s="688"/>
      <c r="AH56" s="342">
        <v>100</v>
      </c>
      <c r="AI56" s="1082">
        <f t="shared" si="64"/>
        <v>100</v>
      </c>
      <c r="AJ56" s="958"/>
      <c r="AK56" s="958"/>
      <c r="AL56" s="1082">
        <v>100</v>
      </c>
    </row>
    <row r="57" spans="1:38" ht="64.150000000000006" hidden="1" customHeight="1" x14ac:dyDescent="0.2">
      <c r="A57" s="288"/>
      <c r="B57" s="160"/>
      <c r="C57" s="90"/>
      <c r="D57" s="91"/>
      <c r="E57" s="204">
        <f t="shared" si="57"/>
        <v>0</v>
      </c>
      <c r="F57" s="204">
        <f t="shared" ref="F57" si="65">J57+N57+R57+V57</f>
        <v>0</v>
      </c>
      <c r="G57" s="206"/>
      <c r="H57" s="204">
        <f t="shared" si="54"/>
        <v>0</v>
      </c>
      <c r="I57" s="901">
        <f t="shared" si="62"/>
        <v>0</v>
      </c>
      <c r="J57" s="923"/>
      <c r="K57" s="923"/>
      <c r="L57" s="905"/>
      <c r="M57" s="889">
        <f t="shared" si="59"/>
        <v>0</v>
      </c>
      <c r="N57" s="889"/>
      <c r="O57" s="922"/>
      <c r="P57" s="890"/>
      <c r="Q57" s="893">
        <f t="shared" si="60"/>
        <v>0</v>
      </c>
      <c r="R57" s="893"/>
      <c r="S57" s="893"/>
      <c r="T57" s="893"/>
      <c r="U57" s="209"/>
      <c r="V57" s="209"/>
      <c r="W57" s="209"/>
      <c r="X57" s="703"/>
      <c r="Y57" s="233"/>
      <c r="Z57" s="233"/>
      <c r="AA57" s="207"/>
      <c r="AB57" s="207"/>
      <c r="AC57" s="124"/>
      <c r="AD57" s="124"/>
      <c r="AE57" s="688"/>
      <c r="AF57" s="688"/>
      <c r="AG57" s="688"/>
      <c r="AH57" s="945"/>
      <c r="AI57" s="958"/>
      <c r="AJ57" s="958"/>
      <c r="AK57" s="958"/>
      <c r="AL57" s="958"/>
    </row>
    <row r="58" spans="1:38" ht="35.450000000000003" customHeight="1" x14ac:dyDescent="0.2">
      <c r="A58" s="86" t="s">
        <v>194</v>
      </c>
      <c r="B58" s="112" t="s">
        <v>233</v>
      </c>
      <c r="C58" s="113"/>
      <c r="D58" s="114" t="s">
        <v>7</v>
      </c>
      <c r="E58" s="202">
        <f t="shared" si="57"/>
        <v>1473.2</v>
      </c>
      <c r="F58" s="202">
        <f t="shared" ref="F58:G58" si="66">J58+N58+R58+V58+Z58+AF58+AJ58</f>
        <v>0</v>
      </c>
      <c r="G58" s="202">
        <f t="shared" si="66"/>
        <v>0</v>
      </c>
      <c r="H58" s="202">
        <f>L58+P58+T58+X58+AB58+AH58+AL58</f>
        <v>1473.2</v>
      </c>
      <c r="I58" s="920">
        <f t="shared" si="62"/>
        <v>186.6</v>
      </c>
      <c r="J58" s="920">
        <f>J59</f>
        <v>0</v>
      </c>
      <c r="K58" s="920">
        <f>K59</f>
        <v>0</v>
      </c>
      <c r="L58" s="920">
        <f>L59</f>
        <v>186.6</v>
      </c>
      <c r="M58" s="920">
        <f t="shared" si="59"/>
        <v>175</v>
      </c>
      <c r="N58" s="920">
        <f>N59</f>
        <v>0</v>
      </c>
      <c r="O58" s="920">
        <f>O59</f>
        <v>0</v>
      </c>
      <c r="P58" s="920">
        <f>P59</f>
        <v>175</v>
      </c>
      <c r="Q58" s="920">
        <f t="shared" si="60"/>
        <v>257</v>
      </c>
      <c r="R58" s="920">
        <f>R59</f>
        <v>0</v>
      </c>
      <c r="S58" s="920">
        <f>S59</f>
        <v>0</v>
      </c>
      <c r="T58" s="920">
        <f>T59</f>
        <v>257</v>
      </c>
      <c r="U58" s="202">
        <f t="shared" si="61"/>
        <v>299.60000000000002</v>
      </c>
      <c r="V58" s="202">
        <f>V59</f>
        <v>0</v>
      </c>
      <c r="W58" s="202">
        <f>W59</f>
        <v>0</v>
      </c>
      <c r="X58" s="228">
        <f>X59</f>
        <v>299.60000000000002</v>
      </c>
      <c r="Y58" s="202">
        <f>Z58+AA58+AB58</f>
        <v>185</v>
      </c>
      <c r="Z58" s="202">
        <f>Z59</f>
        <v>0</v>
      </c>
      <c r="AA58" s="202">
        <f>AA59</f>
        <v>0</v>
      </c>
      <c r="AB58" s="202">
        <f>AB59</f>
        <v>185</v>
      </c>
      <c r="AC58" s="814"/>
      <c r="AD58" s="814"/>
      <c r="AE58" s="202">
        <f>AF58+AG58+AH58</f>
        <v>185</v>
      </c>
      <c r="AF58" s="202">
        <f t="shared" ref="AF58:AG58" si="67">AF59</f>
        <v>0</v>
      </c>
      <c r="AG58" s="202">
        <f t="shared" si="67"/>
        <v>0</v>
      </c>
      <c r="AH58" s="228">
        <f>AH59</f>
        <v>185</v>
      </c>
      <c r="AI58" s="960">
        <f>AJ58+AK58+AL58</f>
        <v>185</v>
      </c>
      <c r="AJ58" s="960"/>
      <c r="AK58" s="960"/>
      <c r="AL58" s="960">
        <f>AL60+AL61</f>
        <v>185</v>
      </c>
    </row>
    <row r="59" spans="1:38" ht="1.1499999999999999" hidden="1" customHeight="1" x14ac:dyDescent="0.2">
      <c r="A59" s="130" t="s">
        <v>234</v>
      </c>
      <c r="B59" s="134" t="s">
        <v>263</v>
      </c>
      <c r="C59" s="128"/>
      <c r="D59" s="129"/>
      <c r="E59" s="226">
        <f t="shared" si="57"/>
        <v>1288.2</v>
      </c>
      <c r="F59" s="226">
        <f t="shared" ref="F59:G59" si="68">J59+N59+R59+V59+Z59</f>
        <v>0</v>
      </c>
      <c r="G59" s="226">
        <f t="shared" si="68"/>
        <v>0</v>
      </c>
      <c r="H59" s="232">
        <f t="shared" si="54"/>
        <v>1288.2</v>
      </c>
      <c r="I59" s="919">
        <f>J59+K59+L59</f>
        <v>186.6</v>
      </c>
      <c r="J59" s="919">
        <f>J60+J61</f>
        <v>0</v>
      </c>
      <c r="K59" s="919">
        <f>K60+K61</f>
        <v>0</v>
      </c>
      <c r="L59" s="919">
        <f>L60+L61</f>
        <v>186.6</v>
      </c>
      <c r="M59" s="919">
        <f t="shared" si="59"/>
        <v>175</v>
      </c>
      <c r="N59" s="919">
        <f>N60+N61</f>
        <v>0</v>
      </c>
      <c r="O59" s="919">
        <f>O60+O61</f>
        <v>0</v>
      </c>
      <c r="P59" s="919">
        <f>P60+P61</f>
        <v>175</v>
      </c>
      <c r="Q59" s="919">
        <f t="shared" si="60"/>
        <v>257</v>
      </c>
      <c r="R59" s="919">
        <f>R60+R61</f>
        <v>0</v>
      </c>
      <c r="S59" s="919">
        <f>S60+S61</f>
        <v>0</v>
      </c>
      <c r="T59" s="919">
        <f>T60+T61</f>
        <v>257</v>
      </c>
      <c r="U59" s="226">
        <f t="shared" si="61"/>
        <v>299.60000000000002</v>
      </c>
      <c r="V59" s="226">
        <f>V60+V61</f>
        <v>0</v>
      </c>
      <c r="W59" s="226">
        <f>W60+W61</f>
        <v>0</v>
      </c>
      <c r="X59" s="220">
        <f>X60+X61</f>
        <v>299.60000000000002</v>
      </c>
      <c r="Y59" s="204">
        <f>Z59+AA59+AB59</f>
        <v>185</v>
      </c>
      <c r="Z59" s="204">
        <f>Z60+Z61</f>
        <v>0</v>
      </c>
      <c r="AA59" s="204">
        <f>AA60+AA61</f>
        <v>0</v>
      </c>
      <c r="AB59" s="204">
        <f>AB60+AB61</f>
        <v>185</v>
      </c>
      <c r="AC59" s="124"/>
      <c r="AD59" s="124"/>
      <c r="AE59" s="204">
        <f>AF59+AG59+AH59</f>
        <v>185</v>
      </c>
      <c r="AF59" s="204">
        <f t="shared" ref="AF59:AG59" si="69">AF60+AF61</f>
        <v>0</v>
      </c>
      <c r="AG59" s="204">
        <f t="shared" si="69"/>
        <v>0</v>
      </c>
      <c r="AH59" s="220">
        <f>AH60+AH61</f>
        <v>185</v>
      </c>
      <c r="AI59" s="958"/>
      <c r="AJ59" s="958"/>
      <c r="AK59" s="958"/>
      <c r="AL59" s="958"/>
    </row>
    <row r="60" spans="1:38" ht="72" x14ac:dyDescent="0.2">
      <c r="A60" s="89" t="s">
        <v>234</v>
      </c>
      <c r="B60" s="74" t="s">
        <v>235</v>
      </c>
      <c r="C60" s="90" t="s">
        <v>51</v>
      </c>
      <c r="D60" s="115"/>
      <c r="E60" s="204">
        <f t="shared" si="57"/>
        <v>300</v>
      </c>
      <c r="F60" s="204">
        <f t="shared" ref="F60:G63" si="70">J60+N60+R60+V60+Z60+AF60+AJ60</f>
        <v>0</v>
      </c>
      <c r="G60" s="204">
        <f t="shared" si="70"/>
        <v>0</v>
      </c>
      <c r="H60" s="204">
        <f>L60+P60+T60+X60+AB60+AH60+AL60</f>
        <v>300</v>
      </c>
      <c r="I60" s="901">
        <f>J60+K60+L60</f>
        <v>0</v>
      </c>
      <c r="J60" s="924"/>
      <c r="K60" s="924"/>
      <c r="L60" s="925">
        <v>0</v>
      </c>
      <c r="M60" s="889">
        <f>N60+O60+P60</f>
        <v>50</v>
      </c>
      <c r="N60" s="889"/>
      <c r="O60" s="926"/>
      <c r="P60" s="889">
        <v>50</v>
      </c>
      <c r="Q60" s="893">
        <f>R60+S60+T60</f>
        <v>50</v>
      </c>
      <c r="R60" s="893"/>
      <c r="S60" s="893"/>
      <c r="T60" s="893">
        <v>50</v>
      </c>
      <c r="U60" s="209">
        <f>V60+W60+X60</f>
        <v>50</v>
      </c>
      <c r="V60" s="209"/>
      <c r="W60" s="209"/>
      <c r="X60" s="703">
        <v>50</v>
      </c>
      <c r="Y60" s="654">
        <f>Z60+AA60+AB60</f>
        <v>50</v>
      </c>
      <c r="Z60" s="233"/>
      <c r="AA60" s="207"/>
      <c r="AB60" s="207">
        <v>50</v>
      </c>
      <c r="AC60" s="124"/>
      <c r="AD60" s="124"/>
      <c r="AE60" s="708">
        <f t="shared" ref="AE60:AE88" si="71">AF60+AG60+AH60</f>
        <v>50</v>
      </c>
      <c r="AF60" s="688"/>
      <c r="AG60" s="688"/>
      <c r="AH60" s="342">
        <v>50</v>
      </c>
      <c r="AI60" s="958">
        <f>AJ60+AK60+AL60</f>
        <v>50</v>
      </c>
      <c r="AJ60" s="958"/>
      <c r="AK60" s="958"/>
      <c r="AL60" s="958">
        <v>50</v>
      </c>
    </row>
    <row r="61" spans="1:38" ht="56.45" customHeight="1" thickBot="1" x14ac:dyDescent="0.25">
      <c r="A61" s="89" t="s">
        <v>326</v>
      </c>
      <c r="B61" s="115" t="s">
        <v>9</v>
      </c>
      <c r="C61" s="90" t="s">
        <v>203</v>
      </c>
      <c r="D61" s="115"/>
      <c r="E61" s="204">
        <f t="shared" si="57"/>
        <v>1173.2</v>
      </c>
      <c r="F61" s="204">
        <f t="shared" si="70"/>
        <v>0</v>
      </c>
      <c r="G61" s="204">
        <f t="shared" si="70"/>
        <v>0</v>
      </c>
      <c r="H61" s="204">
        <f>L61+P61+T61+X61+AB61+AH61+AL61</f>
        <v>1173.2</v>
      </c>
      <c r="I61" s="901">
        <f>J61+K61+L61</f>
        <v>186.6</v>
      </c>
      <c r="J61" s="927"/>
      <c r="K61" s="924"/>
      <c r="L61" s="925">
        <v>186.6</v>
      </c>
      <c r="M61" s="889">
        <f>N61+O61+P61</f>
        <v>125</v>
      </c>
      <c r="N61" s="889"/>
      <c r="O61" s="926"/>
      <c r="P61" s="889">
        <v>125</v>
      </c>
      <c r="Q61" s="893">
        <f>R61+S61+T61</f>
        <v>207</v>
      </c>
      <c r="R61" s="893"/>
      <c r="S61" s="893"/>
      <c r="T61" s="893">
        <v>207</v>
      </c>
      <c r="U61" s="209">
        <f>V61+W61+X61</f>
        <v>249.6</v>
      </c>
      <c r="V61" s="209"/>
      <c r="W61" s="207"/>
      <c r="X61" s="703">
        <f>135+114.6</f>
        <v>249.6</v>
      </c>
      <c r="Y61" s="654">
        <f>Z61+AA61+AB61</f>
        <v>135</v>
      </c>
      <c r="Z61" s="233"/>
      <c r="AA61" s="207"/>
      <c r="AB61" s="207">
        <v>135</v>
      </c>
      <c r="AC61" s="124"/>
      <c r="AD61" s="124"/>
      <c r="AE61" s="708">
        <f t="shared" si="71"/>
        <v>135</v>
      </c>
      <c r="AF61" s="688"/>
      <c r="AG61" s="688"/>
      <c r="AH61" s="342">
        <v>135</v>
      </c>
      <c r="AI61" s="958">
        <f>AJ61+AK61+AL61</f>
        <v>135</v>
      </c>
      <c r="AJ61" s="958"/>
      <c r="AK61" s="958"/>
      <c r="AL61" s="958">
        <v>135</v>
      </c>
    </row>
    <row r="62" spans="1:38" ht="38.25" customHeight="1" x14ac:dyDescent="0.2">
      <c r="A62" s="82"/>
      <c r="B62" s="815" t="s">
        <v>204</v>
      </c>
      <c r="C62" s="816"/>
      <c r="D62" s="817" t="s">
        <v>7</v>
      </c>
      <c r="E62" s="201">
        <f>F62+G62+H62</f>
        <v>690.06845999999996</v>
      </c>
      <c r="F62" s="201">
        <f t="shared" si="70"/>
        <v>0</v>
      </c>
      <c r="G62" s="201">
        <f t="shared" si="70"/>
        <v>0</v>
      </c>
      <c r="H62" s="201">
        <f>L62+P62+T62+X62+AB62+AH62+AL62</f>
        <v>690.06845999999996</v>
      </c>
      <c r="I62" s="899">
        <f>J62+K62+L62</f>
        <v>120</v>
      </c>
      <c r="J62" s="899">
        <f t="shared" ref="J62:L63" si="72">J63</f>
        <v>0</v>
      </c>
      <c r="K62" s="899">
        <f t="shared" si="72"/>
        <v>0</v>
      </c>
      <c r="L62" s="899">
        <f t="shared" si="72"/>
        <v>120</v>
      </c>
      <c r="M62" s="899">
        <f>N62+O62+P62</f>
        <v>90</v>
      </c>
      <c r="N62" s="899">
        <f t="shared" ref="N62:P63" si="73">N63</f>
        <v>0</v>
      </c>
      <c r="O62" s="899">
        <f t="shared" si="73"/>
        <v>0</v>
      </c>
      <c r="P62" s="899">
        <f t="shared" si="73"/>
        <v>90</v>
      </c>
      <c r="Q62" s="899">
        <f>R62+S62+T62</f>
        <v>90</v>
      </c>
      <c r="R62" s="899">
        <f t="shared" ref="R62:T63" si="74">R63</f>
        <v>0</v>
      </c>
      <c r="S62" s="899">
        <f t="shared" si="74"/>
        <v>0</v>
      </c>
      <c r="T62" s="899">
        <f t="shared" si="74"/>
        <v>90</v>
      </c>
      <c r="U62" s="201">
        <f>V62+W62+X62</f>
        <v>120.06846</v>
      </c>
      <c r="V62" s="201">
        <f t="shared" ref="V62:X63" si="75">V63</f>
        <v>0</v>
      </c>
      <c r="W62" s="201">
        <f t="shared" si="75"/>
        <v>0</v>
      </c>
      <c r="X62" s="808">
        <f t="shared" si="75"/>
        <v>120.06846</v>
      </c>
      <c r="Y62" s="201">
        <f>Z62+AA62+AB62</f>
        <v>90</v>
      </c>
      <c r="Z62" s="201">
        <f t="shared" ref="Z62:AB63" si="76">Z63</f>
        <v>0</v>
      </c>
      <c r="AA62" s="201">
        <f t="shared" si="76"/>
        <v>0</v>
      </c>
      <c r="AB62" s="201">
        <f t="shared" si="76"/>
        <v>90</v>
      </c>
      <c r="AC62" s="818"/>
      <c r="AD62" s="818"/>
      <c r="AE62" s="810">
        <f t="shared" si="71"/>
        <v>90</v>
      </c>
      <c r="AF62" s="201">
        <f t="shared" ref="AF62:AH63" si="77">AF63</f>
        <v>0</v>
      </c>
      <c r="AG62" s="201">
        <f t="shared" si="77"/>
        <v>0</v>
      </c>
      <c r="AH62" s="808">
        <f t="shared" si="77"/>
        <v>90</v>
      </c>
      <c r="AI62" s="961">
        <f>AJ62+AK62+AL62</f>
        <v>90</v>
      </c>
      <c r="AJ62" s="961"/>
      <c r="AK62" s="961"/>
      <c r="AL62" s="961">
        <f>AL63</f>
        <v>90</v>
      </c>
    </row>
    <row r="63" spans="1:38" ht="40.9" customHeight="1" x14ac:dyDescent="0.2">
      <c r="A63" s="86" t="s">
        <v>196</v>
      </c>
      <c r="B63" s="329" t="s">
        <v>236</v>
      </c>
      <c r="C63" s="116"/>
      <c r="D63" s="111"/>
      <c r="E63" s="202">
        <f t="shared" ref="E63:E79" si="78">F63+G63+H63</f>
        <v>690.06845999999996</v>
      </c>
      <c r="F63" s="202">
        <f t="shared" si="70"/>
        <v>0</v>
      </c>
      <c r="G63" s="202">
        <f t="shared" si="70"/>
        <v>0</v>
      </c>
      <c r="H63" s="202">
        <f>L63+P63+T63+X63+AB63+AH63+AL63</f>
        <v>690.06845999999996</v>
      </c>
      <c r="I63" s="920">
        <f>I64</f>
        <v>120</v>
      </c>
      <c r="J63" s="920">
        <f t="shared" si="72"/>
        <v>0</v>
      </c>
      <c r="K63" s="920">
        <f t="shared" si="72"/>
        <v>0</v>
      </c>
      <c r="L63" s="920">
        <f t="shared" si="72"/>
        <v>120</v>
      </c>
      <c r="M63" s="920">
        <f>M64</f>
        <v>90</v>
      </c>
      <c r="N63" s="920">
        <f t="shared" si="73"/>
        <v>0</v>
      </c>
      <c r="O63" s="920">
        <f t="shared" si="73"/>
        <v>0</v>
      </c>
      <c r="P63" s="920">
        <f t="shared" si="73"/>
        <v>90</v>
      </c>
      <c r="Q63" s="920">
        <f>Q64</f>
        <v>90</v>
      </c>
      <c r="R63" s="920">
        <f t="shared" si="74"/>
        <v>0</v>
      </c>
      <c r="S63" s="920">
        <f t="shared" si="74"/>
        <v>0</v>
      </c>
      <c r="T63" s="920">
        <f t="shared" si="74"/>
        <v>90</v>
      </c>
      <c r="U63" s="202">
        <f>U64</f>
        <v>120.06846</v>
      </c>
      <c r="V63" s="202">
        <f t="shared" si="75"/>
        <v>0</v>
      </c>
      <c r="W63" s="202">
        <f t="shared" si="75"/>
        <v>0</v>
      </c>
      <c r="X63" s="202">
        <f t="shared" si="75"/>
        <v>120.06846</v>
      </c>
      <c r="Y63" s="202">
        <f>Y64</f>
        <v>90</v>
      </c>
      <c r="Z63" s="202">
        <f t="shared" si="76"/>
        <v>0</v>
      </c>
      <c r="AA63" s="202">
        <f t="shared" si="76"/>
        <v>0</v>
      </c>
      <c r="AB63" s="202">
        <f t="shared" si="76"/>
        <v>90</v>
      </c>
      <c r="AC63" s="814"/>
      <c r="AD63" s="814"/>
      <c r="AE63" s="799">
        <f t="shared" si="71"/>
        <v>90</v>
      </c>
      <c r="AF63" s="202">
        <f t="shared" si="77"/>
        <v>0</v>
      </c>
      <c r="AG63" s="202">
        <f t="shared" si="77"/>
        <v>0</v>
      </c>
      <c r="AH63" s="228">
        <f t="shared" si="77"/>
        <v>90</v>
      </c>
      <c r="AI63" s="1088">
        <f>AJ63+AK63+AL63</f>
        <v>90</v>
      </c>
      <c r="AJ63" s="1088"/>
      <c r="AK63" s="1088"/>
      <c r="AL63" s="1088">
        <f>AL65+AL66</f>
        <v>90</v>
      </c>
    </row>
    <row r="64" spans="1:38" s="180" customFormat="1" ht="1.1499999999999999" hidden="1" customHeight="1" x14ac:dyDescent="0.2">
      <c r="A64" s="176" t="s">
        <v>238</v>
      </c>
      <c r="B64" s="177" t="s">
        <v>264</v>
      </c>
      <c r="C64" s="178"/>
      <c r="D64" s="179"/>
      <c r="E64" s="229">
        <f t="shared" si="78"/>
        <v>600.06845999999996</v>
      </c>
      <c r="F64" s="229">
        <f t="shared" ref="F64:G64" si="79">J64+N64+R64+V64+Z64</f>
        <v>0</v>
      </c>
      <c r="G64" s="229">
        <f t="shared" si="79"/>
        <v>0</v>
      </c>
      <c r="H64" s="204">
        <f t="shared" si="54"/>
        <v>600.06845999999996</v>
      </c>
      <c r="I64" s="928">
        <f t="shared" ref="I64:I81" si="80">J64+K64+L64</f>
        <v>120</v>
      </c>
      <c r="J64" s="929">
        <f>J65+J66</f>
        <v>0</v>
      </c>
      <c r="K64" s="929">
        <f>K65+K66</f>
        <v>0</v>
      </c>
      <c r="L64" s="929">
        <f>L65+L66</f>
        <v>120</v>
      </c>
      <c r="M64" s="928">
        <f>N64+O64+P64</f>
        <v>90</v>
      </c>
      <c r="N64" s="929">
        <f>N65+N66</f>
        <v>0</v>
      </c>
      <c r="O64" s="929">
        <f>O65+O66</f>
        <v>0</v>
      </c>
      <c r="P64" s="929">
        <f>P65+P66</f>
        <v>90</v>
      </c>
      <c r="Q64" s="928">
        <f t="shared" ref="Q64:Q88" si="81">R64+S64+T64</f>
        <v>90</v>
      </c>
      <c r="R64" s="929">
        <f>R65+R66</f>
        <v>0</v>
      </c>
      <c r="S64" s="929">
        <f>S65+S66</f>
        <v>0</v>
      </c>
      <c r="T64" s="929">
        <f>T65+T66</f>
        <v>90</v>
      </c>
      <c r="U64" s="229">
        <f t="shared" ref="U64:U81" si="82">V64+W64+X64</f>
        <v>120.06846</v>
      </c>
      <c r="V64" s="230">
        <f>V65+V66</f>
        <v>0</v>
      </c>
      <c r="W64" s="230">
        <f>W65+W66</f>
        <v>0</v>
      </c>
      <c r="X64" s="713">
        <f>X65+X66</f>
        <v>120.06846</v>
      </c>
      <c r="Y64" s="714">
        <f t="shared" ref="Y64:Y78" si="83">Z64+AA64+AB64</f>
        <v>90</v>
      </c>
      <c r="Z64" s="713">
        <f>Z65+Z66</f>
        <v>0</v>
      </c>
      <c r="AA64" s="713">
        <f>AA65+AA66</f>
        <v>0</v>
      </c>
      <c r="AB64" s="714">
        <f>AB65+AB66</f>
        <v>90</v>
      </c>
      <c r="AC64" s="124"/>
      <c r="AD64" s="124"/>
      <c r="AE64" s="712">
        <f t="shared" si="71"/>
        <v>90</v>
      </c>
      <c r="AF64" s="714">
        <f t="shared" ref="AF64:AG64" si="84">AF65+AF66</f>
        <v>0</v>
      </c>
      <c r="AG64" s="714">
        <f t="shared" si="84"/>
        <v>0</v>
      </c>
      <c r="AH64" s="713">
        <f>AH65+AH66</f>
        <v>90</v>
      </c>
      <c r="AI64" s="959"/>
      <c r="AJ64" s="959"/>
      <c r="AK64" s="959"/>
      <c r="AL64" s="959"/>
    </row>
    <row r="65" spans="1:38" ht="63.6" customHeight="1" x14ac:dyDescent="0.2">
      <c r="A65" s="89" t="s">
        <v>238</v>
      </c>
      <c r="B65" s="328" t="s">
        <v>237</v>
      </c>
      <c r="C65" s="118" t="s">
        <v>45</v>
      </c>
      <c r="D65" s="117"/>
      <c r="E65" s="204">
        <f t="shared" si="78"/>
        <v>330</v>
      </c>
      <c r="F65" s="204">
        <f t="shared" ref="F65:H80" si="85">J65+N65+R65+V65+Z65+AF65+AJ65</f>
        <v>0</v>
      </c>
      <c r="G65" s="204">
        <f t="shared" si="85"/>
        <v>0</v>
      </c>
      <c r="H65" s="204">
        <f t="shared" si="85"/>
        <v>330</v>
      </c>
      <c r="I65" s="901">
        <f t="shared" si="80"/>
        <v>60</v>
      </c>
      <c r="J65" s="901"/>
      <c r="K65" s="930"/>
      <c r="L65" s="931">
        <v>60</v>
      </c>
      <c r="M65" s="889">
        <f t="shared" ref="M65:M72" si="86">N65+O65+P65</f>
        <v>45</v>
      </c>
      <c r="N65" s="889"/>
      <c r="O65" s="932"/>
      <c r="P65" s="889">
        <v>45</v>
      </c>
      <c r="Q65" s="893">
        <f t="shared" si="81"/>
        <v>45</v>
      </c>
      <c r="R65" s="893"/>
      <c r="S65" s="893"/>
      <c r="T65" s="893">
        <v>45</v>
      </c>
      <c r="U65" s="209">
        <f t="shared" si="82"/>
        <v>45</v>
      </c>
      <c r="V65" s="209"/>
      <c r="W65" s="209"/>
      <c r="X65" s="222">
        <v>45</v>
      </c>
      <c r="Y65" s="207">
        <f t="shared" si="83"/>
        <v>45</v>
      </c>
      <c r="Z65" s="207"/>
      <c r="AA65" s="207"/>
      <c r="AB65" s="207">
        <v>45</v>
      </c>
      <c r="AC65" s="124"/>
      <c r="AD65" s="124"/>
      <c r="AE65" s="708">
        <f t="shared" si="71"/>
        <v>45</v>
      </c>
      <c r="AF65" s="688"/>
      <c r="AG65" s="688"/>
      <c r="AH65" s="1089">
        <v>45</v>
      </c>
      <c r="AI65" s="1086">
        <f>AJ65+AK65+AL65</f>
        <v>45</v>
      </c>
      <c r="AJ65" s="1084"/>
      <c r="AK65" s="1084"/>
      <c r="AL65" s="1086">
        <v>45</v>
      </c>
    </row>
    <row r="66" spans="1:38" ht="48" customHeight="1" x14ac:dyDescent="0.25">
      <c r="A66" s="89" t="s">
        <v>327</v>
      </c>
      <c r="B66" s="328" t="s">
        <v>239</v>
      </c>
      <c r="C66" s="118" t="s">
        <v>45</v>
      </c>
      <c r="D66" s="117"/>
      <c r="E66" s="204">
        <f t="shared" si="78"/>
        <v>360.06846000000002</v>
      </c>
      <c r="F66" s="204">
        <f t="shared" si="85"/>
        <v>0</v>
      </c>
      <c r="G66" s="204">
        <f t="shared" si="85"/>
        <v>0</v>
      </c>
      <c r="H66" s="204">
        <f t="shared" si="85"/>
        <v>360.06846000000002</v>
      </c>
      <c r="I66" s="901">
        <f t="shared" si="80"/>
        <v>60</v>
      </c>
      <c r="J66" s="901"/>
      <c r="K66" s="930"/>
      <c r="L66" s="931">
        <v>60</v>
      </c>
      <c r="M66" s="889">
        <f t="shared" si="86"/>
        <v>45</v>
      </c>
      <c r="N66" s="889"/>
      <c r="O66" s="932"/>
      <c r="P66" s="889">
        <v>45</v>
      </c>
      <c r="Q66" s="893">
        <f t="shared" si="81"/>
        <v>45</v>
      </c>
      <c r="R66" s="893"/>
      <c r="S66" s="893"/>
      <c r="T66" s="893">
        <v>45</v>
      </c>
      <c r="U66" s="209">
        <f t="shared" si="82"/>
        <v>75.068460000000002</v>
      </c>
      <c r="V66" s="209"/>
      <c r="W66" s="209"/>
      <c r="X66" s="222">
        <f>45+30.06846</f>
        <v>75.068460000000002</v>
      </c>
      <c r="Y66" s="207">
        <f t="shared" si="83"/>
        <v>45</v>
      </c>
      <c r="Z66" s="207"/>
      <c r="AA66" s="207"/>
      <c r="AB66" s="207">
        <v>45</v>
      </c>
      <c r="AC66" s="190"/>
      <c r="AD66" s="190"/>
      <c r="AE66" s="708">
        <f t="shared" si="71"/>
        <v>45</v>
      </c>
      <c r="AF66" s="688"/>
      <c r="AG66" s="688"/>
      <c r="AH66" s="1089">
        <v>45</v>
      </c>
      <c r="AI66" s="1086">
        <f>AJ66+AK66+AL66</f>
        <v>45</v>
      </c>
      <c r="AJ66" s="1084"/>
      <c r="AK66" s="1084"/>
      <c r="AL66" s="1086">
        <v>45</v>
      </c>
    </row>
    <row r="67" spans="1:38" ht="34.5" customHeight="1" x14ac:dyDescent="0.25">
      <c r="A67" s="82"/>
      <c r="B67" s="796" t="s">
        <v>195</v>
      </c>
      <c r="C67" s="813"/>
      <c r="D67" s="813"/>
      <c r="E67" s="201">
        <f>F67+G67+H67</f>
        <v>50795.659570000003</v>
      </c>
      <c r="F67" s="201">
        <f t="shared" si="85"/>
        <v>0</v>
      </c>
      <c r="G67" s="201">
        <f t="shared" si="85"/>
        <v>16237.645</v>
      </c>
      <c r="H67" s="201">
        <f t="shared" si="85"/>
        <v>34558.014569999999</v>
      </c>
      <c r="I67" s="899">
        <f t="shared" si="80"/>
        <v>8308.14</v>
      </c>
      <c r="J67" s="933">
        <f>J68</f>
        <v>0</v>
      </c>
      <c r="K67" s="933">
        <f>K68</f>
        <v>2007.3</v>
      </c>
      <c r="L67" s="933">
        <f>L68</f>
        <v>6300.84</v>
      </c>
      <c r="M67" s="899">
        <f>N67+O67+P67</f>
        <v>6648.76</v>
      </c>
      <c r="N67" s="933">
        <f>N68</f>
        <v>0</v>
      </c>
      <c r="O67" s="933">
        <f>O68</f>
        <v>1785.4</v>
      </c>
      <c r="P67" s="933">
        <f>P68</f>
        <v>4863.3599999999997</v>
      </c>
      <c r="Q67" s="899">
        <f t="shared" si="81"/>
        <v>6546.1681600000002</v>
      </c>
      <c r="R67" s="933">
        <f>R68</f>
        <v>0</v>
      </c>
      <c r="S67" s="933">
        <f>S68</f>
        <v>2021.3</v>
      </c>
      <c r="T67" s="933">
        <f>T68</f>
        <v>4524.86816</v>
      </c>
      <c r="U67" s="201">
        <f t="shared" si="82"/>
        <v>7097.636410000001</v>
      </c>
      <c r="V67" s="808">
        <f>V68</f>
        <v>0</v>
      </c>
      <c r="W67" s="808">
        <f>W68</f>
        <v>2328.69</v>
      </c>
      <c r="X67" s="808">
        <f>X68</f>
        <v>4768.9464100000005</v>
      </c>
      <c r="Y67" s="201">
        <f t="shared" si="83"/>
        <v>7406.3909999999996</v>
      </c>
      <c r="Z67" s="201">
        <f>Z68</f>
        <v>0</v>
      </c>
      <c r="AA67" s="808">
        <f>AA68</f>
        <v>2706.3910000000001</v>
      </c>
      <c r="AB67" s="201">
        <f>AB68</f>
        <v>4700</v>
      </c>
      <c r="AC67" s="809"/>
      <c r="AD67" s="809"/>
      <c r="AE67" s="810">
        <f t="shared" si="71"/>
        <v>7394.2820000000002</v>
      </c>
      <c r="AF67" s="201">
        <f t="shared" ref="AF67:AG67" si="87">AF68</f>
        <v>0</v>
      </c>
      <c r="AG67" s="201">
        <f t="shared" si="87"/>
        <v>2694.2820000000002</v>
      </c>
      <c r="AH67" s="808">
        <f>AH68</f>
        <v>4700</v>
      </c>
      <c r="AI67" s="1087">
        <f>AJ67+AK67+AL67</f>
        <v>7394.2820000000002</v>
      </c>
      <c r="AJ67" s="1087">
        <f>AJ68</f>
        <v>0</v>
      </c>
      <c r="AK67" s="841">
        <f>AK68</f>
        <v>2694.2820000000002</v>
      </c>
      <c r="AL67" s="1087">
        <f>AL68</f>
        <v>4700</v>
      </c>
    </row>
    <row r="68" spans="1:38" ht="51.75" customHeight="1" x14ac:dyDescent="0.25">
      <c r="A68" s="86" t="s">
        <v>240</v>
      </c>
      <c r="B68" s="811" t="s">
        <v>241</v>
      </c>
      <c r="C68" s="116"/>
      <c r="D68" s="116"/>
      <c r="E68" s="202">
        <f>F68+G68+H68</f>
        <v>50795.659570000003</v>
      </c>
      <c r="F68" s="202">
        <f t="shared" si="85"/>
        <v>0</v>
      </c>
      <c r="G68" s="202">
        <f t="shared" si="85"/>
        <v>16237.645</v>
      </c>
      <c r="H68" s="202">
        <f t="shared" si="85"/>
        <v>34558.014569999999</v>
      </c>
      <c r="I68" s="920">
        <f t="shared" si="80"/>
        <v>8308.14</v>
      </c>
      <c r="J68" s="934">
        <f>J69+J70</f>
        <v>0</v>
      </c>
      <c r="K68" s="934">
        <f>K69+K70</f>
        <v>2007.3</v>
      </c>
      <c r="L68" s="934">
        <f>L69+L70+L78</f>
        <v>6300.84</v>
      </c>
      <c r="M68" s="920">
        <f>N68+O68+P68</f>
        <v>6648.76</v>
      </c>
      <c r="N68" s="934">
        <f>N69+N70</f>
        <v>0</v>
      </c>
      <c r="O68" s="934">
        <f>O69+O70</f>
        <v>1785.4</v>
      </c>
      <c r="P68" s="934">
        <f>P69+P70+P78</f>
        <v>4863.3599999999997</v>
      </c>
      <c r="Q68" s="920">
        <f t="shared" si="81"/>
        <v>6546.1681600000002</v>
      </c>
      <c r="R68" s="934">
        <f>R69+R70</f>
        <v>0</v>
      </c>
      <c r="S68" s="934">
        <f>S69+S70</f>
        <v>2021.3</v>
      </c>
      <c r="T68" s="934">
        <f>T69+T70+T78</f>
        <v>4524.86816</v>
      </c>
      <c r="U68" s="202">
        <f t="shared" si="82"/>
        <v>7097.636410000001</v>
      </c>
      <c r="V68" s="228">
        <f>V69+V70</f>
        <v>0</v>
      </c>
      <c r="W68" s="228">
        <f>W69+W70</f>
        <v>2328.69</v>
      </c>
      <c r="X68" s="228">
        <f>X69+X70+X78</f>
        <v>4768.9464100000005</v>
      </c>
      <c r="Y68" s="202">
        <f t="shared" si="83"/>
        <v>7406.3909999999996</v>
      </c>
      <c r="Z68" s="202">
        <f>Z69+Z70</f>
        <v>0</v>
      </c>
      <c r="AA68" s="228">
        <f>AA69+AA70</f>
        <v>2706.3910000000001</v>
      </c>
      <c r="AB68" s="228">
        <f>AB69+AB70+AB78</f>
        <v>4700</v>
      </c>
      <c r="AC68" s="798"/>
      <c r="AD68" s="798"/>
      <c r="AE68" s="799">
        <f t="shared" si="71"/>
        <v>7394.2820000000002</v>
      </c>
      <c r="AF68" s="202">
        <f t="shared" ref="AF68" si="88">AF69+AF70+AF78</f>
        <v>0</v>
      </c>
      <c r="AG68" s="228">
        <f>AG69+AG70</f>
        <v>2694.2820000000002</v>
      </c>
      <c r="AH68" s="228">
        <f>AH69+AH70+AH78</f>
        <v>4700</v>
      </c>
      <c r="AI68" s="1088">
        <f>AJ68+AK68+AL68</f>
        <v>7394.2820000000002</v>
      </c>
      <c r="AJ68" s="228">
        <f t="shared" ref="AJ68:AK68" si="89">AJ69+AJ70+AJ78</f>
        <v>0</v>
      </c>
      <c r="AK68" s="228">
        <f t="shared" si="89"/>
        <v>2694.2820000000002</v>
      </c>
      <c r="AL68" s="228">
        <f>AL69+AL70+AL78</f>
        <v>4700</v>
      </c>
    </row>
    <row r="69" spans="1:38" ht="67.5" customHeight="1" x14ac:dyDescent="0.25">
      <c r="A69" s="135" t="s">
        <v>269</v>
      </c>
      <c r="B69" s="794" t="s">
        <v>598</v>
      </c>
      <c r="C69" s="794" t="s">
        <v>391</v>
      </c>
      <c r="D69" s="794"/>
      <c r="E69" s="204">
        <f t="shared" ref="E69:E70" si="90">I69+M69+Q69+U69+Y69+AE69</f>
        <v>24151.990629999997</v>
      </c>
      <c r="F69" s="204">
        <f t="shared" si="85"/>
        <v>0</v>
      </c>
      <c r="G69" s="204">
        <f t="shared" si="85"/>
        <v>14516.455</v>
      </c>
      <c r="H69" s="204">
        <f t="shared" si="85"/>
        <v>13730.617630000002</v>
      </c>
      <c r="I69" s="935">
        <f t="shared" si="80"/>
        <v>4514.8</v>
      </c>
      <c r="J69" s="936"/>
      <c r="K69" s="936">
        <v>2007.3</v>
      </c>
      <c r="L69" s="936">
        <v>2507.5</v>
      </c>
      <c r="M69" s="935">
        <f>N69+O69+P69</f>
        <v>3664</v>
      </c>
      <c r="N69" s="936"/>
      <c r="O69" s="936">
        <v>1785.4</v>
      </c>
      <c r="P69" s="936">
        <v>1878.6</v>
      </c>
      <c r="Q69" s="935">
        <f t="shared" si="81"/>
        <v>3963.6821600000003</v>
      </c>
      <c r="R69" s="936"/>
      <c r="S69" s="936">
        <v>2021.3</v>
      </c>
      <c r="T69" s="936">
        <v>1942.3821600000001</v>
      </c>
      <c r="U69" s="714">
        <f t="shared" si="82"/>
        <v>3807.2354700000001</v>
      </c>
      <c r="V69" s="713"/>
      <c r="W69" s="713">
        <v>1898.4</v>
      </c>
      <c r="X69" s="713">
        <f>2093.63-184.79453</f>
        <v>1908.83547</v>
      </c>
      <c r="Y69" s="714">
        <f t="shared" si="83"/>
        <v>4107.1909999999998</v>
      </c>
      <c r="Z69" s="714"/>
      <c r="AA69" s="713">
        <v>2276.0909999999999</v>
      </c>
      <c r="AB69" s="229">
        <v>1831.1</v>
      </c>
      <c r="AC69" s="190"/>
      <c r="AD69" s="190"/>
      <c r="AE69" s="708">
        <f t="shared" si="71"/>
        <v>4095.0819999999999</v>
      </c>
      <c r="AF69" s="688"/>
      <c r="AG69" s="708">
        <v>2263.982</v>
      </c>
      <c r="AH69" s="713">
        <v>1831.1</v>
      </c>
      <c r="AI69" s="1086">
        <f>AJ69+AK69+AL69</f>
        <v>4095.0819999999999</v>
      </c>
      <c r="AJ69" s="1086"/>
      <c r="AK69" s="1086">
        <v>2263.982</v>
      </c>
      <c r="AL69" s="1086">
        <v>1831.1</v>
      </c>
    </row>
    <row r="70" spans="1:38" ht="33" customHeight="1" x14ac:dyDescent="0.25">
      <c r="A70" s="135" t="s">
        <v>265</v>
      </c>
      <c r="B70" s="812" t="s">
        <v>266</v>
      </c>
      <c r="C70" s="119" t="s">
        <v>391</v>
      </c>
      <c r="D70" s="120"/>
      <c r="E70" s="204">
        <f t="shared" si="90"/>
        <v>8206.6441599999998</v>
      </c>
      <c r="F70" s="204">
        <f t="shared" si="85"/>
        <v>0</v>
      </c>
      <c r="G70" s="204">
        <f t="shared" si="85"/>
        <v>1721.1899999999998</v>
      </c>
      <c r="H70" s="204">
        <f t="shared" si="85"/>
        <v>8027.65416</v>
      </c>
      <c r="I70" s="935">
        <f t="shared" si="80"/>
        <v>1334.82</v>
      </c>
      <c r="J70" s="901">
        <f>SUM(J71:J77)</f>
        <v>0</v>
      </c>
      <c r="K70" s="901">
        <f>SUM(K71:K77)</f>
        <v>0</v>
      </c>
      <c r="L70" s="901">
        <f>SUM(L71:L77)</f>
        <v>1334.82</v>
      </c>
      <c r="M70" s="935">
        <f>N70+O70+P70</f>
        <v>1273.52</v>
      </c>
      <c r="N70" s="901">
        <f>SUM(N71:N77)</f>
        <v>0</v>
      </c>
      <c r="O70" s="901">
        <f>SUM(O71:O77)</f>
        <v>0</v>
      </c>
      <c r="P70" s="901">
        <f>SUM(P71:P77)</f>
        <v>1273.52</v>
      </c>
      <c r="Q70" s="935">
        <f t="shared" si="81"/>
        <v>916.48599999999999</v>
      </c>
      <c r="R70" s="901">
        <f>SUM(R71:R77)</f>
        <v>0</v>
      </c>
      <c r="S70" s="901">
        <f>SUM(S71:S77)</f>
        <v>0</v>
      </c>
      <c r="T70" s="901">
        <f>SUM(T71:T77)</f>
        <v>916.48599999999999</v>
      </c>
      <c r="U70" s="714">
        <f t="shared" si="82"/>
        <v>1597.4181599999999</v>
      </c>
      <c r="V70" s="204">
        <f>SUM(V71:V77)</f>
        <v>0</v>
      </c>
      <c r="W70" s="204">
        <f>W72+W76+W77</f>
        <v>430.28999999999996</v>
      </c>
      <c r="X70" s="204">
        <f>X71+X72+X75+X76+X77</f>
        <v>1167.12816</v>
      </c>
      <c r="Y70" s="714">
        <f t="shared" si="83"/>
        <v>1542.2</v>
      </c>
      <c r="Z70" s="204">
        <f>SUM(Z71:Z77)</f>
        <v>0</v>
      </c>
      <c r="AA70" s="204">
        <f>AA72+AA76+AA77</f>
        <v>430.3</v>
      </c>
      <c r="AB70" s="205">
        <f>AB71+AB72+AB75+AB76+AB77</f>
        <v>1111.9000000000001</v>
      </c>
      <c r="AC70" s="190"/>
      <c r="AD70" s="190"/>
      <c r="AE70" s="708">
        <f t="shared" si="71"/>
        <v>1542.2</v>
      </c>
      <c r="AF70" s="688"/>
      <c r="AG70" s="204">
        <f>AG72+AG76+AG77</f>
        <v>430.3</v>
      </c>
      <c r="AH70" s="204">
        <f>AH71+AH72+AH75+AH76+AH77</f>
        <v>1111.9000000000001</v>
      </c>
      <c r="AI70" s="1086">
        <f t="shared" ref="AI70:AI71" si="91">AJ70+AK70+AL70</f>
        <v>1542.2</v>
      </c>
      <c r="AJ70" s="1086"/>
      <c r="AK70" s="204">
        <f>AK72+AK76+AK77</f>
        <v>430.3</v>
      </c>
      <c r="AL70" s="204">
        <f>AL71+AL72+AL75+AL76+AL77</f>
        <v>1111.9000000000001</v>
      </c>
    </row>
    <row r="71" spans="1:38" ht="48" customHeight="1" x14ac:dyDescent="0.25">
      <c r="A71" s="135" t="s">
        <v>267</v>
      </c>
      <c r="B71" s="119" t="s">
        <v>242</v>
      </c>
      <c r="C71" s="119" t="s">
        <v>391</v>
      </c>
      <c r="D71" s="119"/>
      <c r="E71" s="204">
        <f t="shared" si="78"/>
        <v>2099.3649999999998</v>
      </c>
      <c r="F71" s="204">
        <f t="shared" si="85"/>
        <v>0</v>
      </c>
      <c r="G71" s="204">
        <f t="shared" si="85"/>
        <v>0</v>
      </c>
      <c r="H71" s="204">
        <f t="shared" si="85"/>
        <v>2099.3649999999998</v>
      </c>
      <c r="I71" s="901">
        <f t="shared" si="80"/>
        <v>415.02</v>
      </c>
      <c r="J71" s="901"/>
      <c r="K71" s="911"/>
      <c r="L71" s="913">
        <v>415.02</v>
      </c>
      <c r="M71" s="901">
        <f t="shared" si="86"/>
        <v>440.1</v>
      </c>
      <c r="N71" s="901"/>
      <c r="O71" s="932"/>
      <c r="P71" s="889">
        <v>440.1</v>
      </c>
      <c r="Q71" s="901">
        <f t="shared" si="81"/>
        <v>249.64500000000001</v>
      </c>
      <c r="R71" s="901"/>
      <c r="S71" s="889"/>
      <c r="T71" s="889">
        <v>249.64500000000001</v>
      </c>
      <c r="U71" s="204">
        <f t="shared" si="82"/>
        <v>247.6</v>
      </c>
      <c r="V71" s="204"/>
      <c r="W71" s="222"/>
      <c r="X71" s="222">
        <f>247.6-9.022+9.022</f>
        <v>247.6</v>
      </c>
      <c r="Y71" s="714">
        <f t="shared" si="83"/>
        <v>249</v>
      </c>
      <c r="Z71" s="233"/>
      <c r="AA71" s="227"/>
      <c r="AB71" s="209">
        <v>249</v>
      </c>
      <c r="AC71" s="190"/>
      <c r="AD71" s="190"/>
      <c r="AE71" s="708">
        <f t="shared" si="71"/>
        <v>249</v>
      </c>
      <c r="AF71" s="688"/>
      <c r="AG71" s="688"/>
      <c r="AH71" s="342">
        <v>249</v>
      </c>
      <c r="AI71" s="1086">
        <f t="shared" si="91"/>
        <v>249</v>
      </c>
      <c r="AJ71" s="1086"/>
      <c r="AK71" s="1086"/>
      <c r="AL71" s="1086">
        <v>249</v>
      </c>
    </row>
    <row r="72" spans="1:38" ht="61.5" customHeight="1" x14ac:dyDescent="0.25">
      <c r="A72" s="135" t="s">
        <v>268</v>
      </c>
      <c r="B72" s="119" t="s">
        <v>599</v>
      </c>
      <c r="C72" s="348" t="s">
        <v>391</v>
      </c>
      <c r="D72" s="376"/>
      <c r="E72" s="205">
        <f t="shared" si="78"/>
        <v>4924.7689999999993</v>
      </c>
      <c r="F72" s="204">
        <f t="shared" si="85"/>
        <v>0</v>
      </c>
      <c r="G72" s="204">
        <f t="shared" si="85"/>
        <v>1721.1899999999998</v>
      </c>
      <c r="H72" s="204">
        <f t="shared" si="85"/>
        <v>3203.5789999999997</v>
      </c>
      <c r="I72" s="903">
        <f t="shared" si="80"/>
        <v>248</v>
      </c>
      <c r="J72" s="903"/>
      <c r="K72" s="903"/>
      <c r="L72" s="903">
        <v>248</v>
      </c>
      <c r="M72" s="903">
        <f t="shared" si="86"/>
        <v>297.92</v>
      </c>
      <c r="N72" s="903"/>
      <c r="O72" s="937"/>
      <c r="P72" s="893">
        <v>297.92</v>
      </c>
      <c r="Q72" s="903">
        <f t="shared" si="81"/>
        <v>449.00099999999998</v>
      </c>
      <c r="R72" s="903"/>
      <c r="S72" s="893"/>
      <c r="T72" s="893">
        <v>449.00099999999998</v>
      </c>
      <c r="U72" s="204">
        <f t="shared" si="82"/>
        <v>1047.4479999999999</v>
      </c>
      <c r="V72" s="204"/>
      <c r="W72" s="222">
        <f>W74+W73</f>
        <v>430.28999999999996</v>
      </c>
      <c r="X72" s="222">
        <f>X73+X74</f>
        <v>617.1579999999999</v>
      </c>
      <c r="Y72" s="714">
        <f t="shared" si="83"/>
        <v>960.8</v>
      </c>
      <c r="Z72" s="233"/>
      <c r="AA72" s="227">
        <f>AA73+AA74</f>
        <v>430.3</v>
      </c>
      <c r="AB72" s="210">
        <f>AB73+AB74</f>
        <v>530.5</v>
      </c>
      <c r="AC72" s="190"/>
      <c r="AD72" s="190"/>
      <c r="AE72" s="708">
        <f t="shared" si="71"/>
        <v>960.8</v>
      </c>
      <c r="AF72" s="688"/>
      <c r="AG72" s="709">
        <f>AG73</f>
        <v>430.3</v>
      </c>
      <c r="AH72" s="706">
        <f>AH73</f>
        <v>530.5</v>
      </c>
      <c r="AI72" s="1086">
        <f>AJ72+AK72+AL72</f>
        <v>960.8</v>
      </c>
      <c r="AJ72" s="1086"/>
      <c r="AK72" s="1086">
        <f>AK73</f>
        <v>430.3</v>
      </c>
      <c r="AL72" s="1086">
        <f>AL73</f>
        <v>530.5</v>
      </c>
    </row>
    <row r="73" spans="1:38" ht="19.5" customHeight="1" x14ac:dyDescent="0.25">
      <c r="A73" s="135"/>
      <c r="B73" s="869" t="s">
        <v>600</v>
      </c>
      <c r="C73" s="871"/>
      <c r="D73" s="376"/>
      <c r="E73" s="205">
        <f t="shared" si="78"/>
        <v>3807.018</v>
      </c>
      <c r="F73" s="204">
        <f t="shared" si="85"/>
        <v>0</v>
      </c>
      <c r="G73" s="204">
        <f t="shared" si="85"/>
        <v>1682.79</v>
      </c>
      <c r="H73" s="204">
        <f t="shared" si="85"/>
        <v>2124.2280000000001</v>
      </c>
      <c r="I73" s="903"/>
      <c r="J73" s="903"/>
      <c r="K73" s="903"/>
      <c r="L73" s="903"/>
      <c r="M73" s="903"/>
      <c r="N73" s="903"/>
      <c r="O73" s="937"/>
      <c r="P73" s="893"/>
      <c r="Q73" s="903"/>
      <c r="R73" s="903"/>
      <c r="S73" s="893"/>
      <c r="T73" s="893"/>
      <c r="U73" s="204">
        <f>V73+W73+X73</f>
        <v>924.61799999999994</v>
      </c>
      <c r="V73" s="204"/>
      <c r="W73" s="222">
        <v>391.89</v>
      </c>
      <c r="X73" s="222">
        <f>541.75-9.022</f>
        <v>532.72799999999995</v>
      </c>
      <c r="Y73" s="714">
        <f t="shared" si="83"/>
        <v>960.8</v>
      </c>
      <c r="Z73" s="233"/>
      <c r="AA73" s="227">
        <v>430.3</v>
      </c>
      <c r="AB73" s="210">
        <v>530.5</v>
      </c>
      <c r="AC73" s="190"/>
      <c r="AD73" s="190"/>
      <c r="AE73" s="708"/>
      <c r="AF73" s="688"/>
      <c r="AG73" s="709">
        <v>430.3</v>
      </c>
      <c r="AH73" s="706">
        <v>530.5</v>
      </c>
      <c r="AI73" s="1086">
        <f t="shared" ref="AI73:AI74" si="92">AJ73+AK73+AL73</f>
        <v>960.8</v>
      </c>
      <c r="AJ73" s="1086"/>
      <c r="AK73" s="1086">
        <v>430.3</v>
      </c>
      <c r="AL73" s="1086">
        <v>530.5</v>
      </c>
    </row>
    <row r="74" spans="1:38" ht="19.5" customHeight="1" x14ac:dyDescent="0.25">
      <c r="A74" s="135"/>
      <c r="B74" s="294" t="s">
        <v>601</v>
      </c>
      <c r="C74" s="871"/>
      <c r="D74" s="376"/>
      <c r="E74" s="205">
        <f t="shared" si="78"/>
        <v>122.83000000000001</v>
      </c>
      <c r="F74" s="204">
        <f t="shared" si="85"/>
        <v>0</v>
      </c>
      <c r="G74" s="204">
        <f t="shared" si="85"/>
        <v>38.4</v>
      </c>
      <c r="H74" s="204">
        <f t="shared" si="85"/>
        <v>84.43</v>
      </c>
      <c r="I74" s="903"/>
      <c r="J74" s="903"/>
      <c r="K74" s="903"/>
      <c r="L74" s="903"/>
      <c r="M74" s="903"/>
      <c r="N74" s="903"/>
      <c r="O74" s="937"/>
      <c r="P74" s="893"/>
      <c r="Q74" s="903"/>
      <c r="R74" s="903"/>
      <c r="S74" s="893"/>
      <c r="T74" s="893"/>
      <c r="U74" s="204">
        <f>V74+W74+X74</f>
        <v>122.83000000000001</v>
      </c>
      <c r="V74" s="204"/>
      <c r="W74" s="222">
        <v>38.4</v>
      </c>
      <c r="X74" s="222">
        <v>84.43</v>
      </c>
      <c r="Y74" s="714">
        <f t="shared" si="83"/>
        <v>0</v>
      </c>
      <c r="Z74" s="233"/>
      <c r="AA74" s="227"/>
      <c r="AB74" s="210"/>
      <c r="AC74" s="190"/>
      <c r="AD74" s="190"/>
      <c r="AE74" s="708"/>
      <c r="AF74" s="688"/>
      <c r="AG74" s="709"/>
      <c r="AH74" s="706"/>
      <c r="AI74" s="1086">
        <f t="shared" si="92"/>
        <v>0</v>
      </c>
      <c r="AJ74" s="1086"/>
      <c r="AK74" s="1086"/>
      <c r="AL74" s="1086"/>
    </row>
    <row r="75" spans="1:38" ht="48.75" x14ac:dyDescent="0.25">
      <c r="A75" s="135" t="s">
        <v>270</v>
      </c>
      <c r="B75" s="794" t="s">
        <v>607</v>
      </c>
      <c r="C75" s="121" t="s">
        <v>51</v>
      </c>
      <c r="D75" s="120"/>
      <c r="E75" s="204">
        <f t="shared" si="78"/>
        <v>451.57</v>
      </c>
      <c r="F75" s="204">
        <f t="shared" si="85"/>
        <v>0</v>
      </c>
      <c r="G75" s="204">
        <f t="shared" si="85"/>
        <v>0</v>
      </c>
      <c r="H75" s="204">
        <f t="shared" si="85"/>
        <v>451.57</v>
      </c>
      <c r="I75" s="901">
        <f t="shared" si="80"/>
        <v>55</v>
      </c>
      <c r="J75" s="901"/>
      <c r="K75" s="911"/>
      <c r="L75" s="901">
        <v>55</v>
      </c>
      <c r="M75" s="901">
        <f t="shared" ref="M75:M81" si="93">N75+O75+P75</f>
        <v>83.7</v>
      </c>
      <c r="N75" s="901"/>
      <c r="O75" s="932"/>
      <c r="P75" s="889">
        <v>83.7</v>
      </c>
      <c r="Q75" s="903">
        <f t="shared" si="81"/>
        <v>58.9</v>
      </c>
      <c r="R75" s="903"/>
      <c r="S75" s="893"/>
      <c r="T75" s="889">
        <v>58.9</v>
      </c>
      <c r="U75" s="204">
        <f t="shared" si="82"/>
        <v>43.97</v>
      </c>
      <c r="V75" s="204"/>
      <c r="W75" s="222"/>
      <c r="X75" s="222">
        <v>43.97</v>
      </c>
      <c r="Y75" s="714">
        <f t="shared" si="83"/>
        <v>70</v>
      </c>
      <c r="Z75" s="233"/>
      <c r="AA75" s="227"/>
      <c r="AB75" s="210">
        <v>70</v>
      </c>
      <c r="AC75" s="190"/>
      <c r="AD75" s="190"/>
      <c r="AE75" s="708">
        <f t="shared" si="71"/>
        <v>70</v>
      </c>
      <c r="AF75" s="688"/>
      <c r="AG75" s="688"/>
      <c r="AH75" s="342">
        <v>70</v>
      </c>
      <c r="AI75" s="1086">
        <f>AJ75+AK75+AL75</f>
        <v>70</v>
      </c>
      <c r="AJ75" s="1084"/>
      <c r="AK75" s="1084"/>
      <c r="AL75" s="1086">
        <v>70</v>
      </c>
    </row>
    <row r="76" spans="1:38" ht="29.25" customHeight="1" x14ac:dyDescent="0.25">
      <c r="A76" s="135" t="s">
        <v>271</v>
      </c>
      <c r="B76" s="122" t="s">
        <v>243</v>
      </c>
      <c r="C76" s="122" t="s">
        <v>20</v>
      </c>
      <c r="D76" s="123"/>
      <c r="E76" s="204">
        <f t="shared" si="78"/>
        <v>1241.6401600000004</v>
      </c>
      <c r="F76" s="204">
        <f t="shared" si="85"/>
        <v>0</v>
      </c>
      <c r="G76" s="204">
        <f t="shared" si="85"/>
        <v>0</v>
      </c>
      <c r="H76" s="204">
        <f t="shared" si="85"/>
        <v>1241.6401600000004</v>
      </c>
      <c r="I76" s="901">
        <f t="shared" si="80"/>
        <v>464.6</v>
      </c>
      <c r="J76" s="901"/>
      <c r="K76" s="911"/>
      <c r="L76" s="901">
        <v>464.6</v>
      </c>
      <c r="M76" s="901">
        <f t="shared" si="93"/>
        <v>253.6</v>
      </c>
      <c r="N76" s="901"/>
      <c r="O76" s="932"/>
      <c r="P76" s="889">
        <v>253.6</v>
      </c>
      <c r="Q76" s="903">
        <f t="shared" si="81"/>
        <v>93.84</v>
      </c>
      <c r="R76" s="903"/>
      <c r="S76" s="893"/>
      <c r="T76" s="889">
        <v>93.84</v>
      </c>
      <c r="U76" s="204">
        <f t="shared" si="82"/>
        <v>107.40016</v>
      </c>
      <c r="V76" s="204"/>
      <c r="W76" s="222"/>
      <c r="X76" s="222">
        <f>109.4-1.99984</f>
        <v>107.40016</v>
      </c>
      <c r="Y76" s="714">
        <f t="shared" si="83"/>
        <v>107.4</v>
      </c>
      <c r="Z76" s="214"/>
      <c r="AA76" s="210"/>
      <c r="AB76" s="209">
        <v>107.4</v>
      </c>
      <c r="AC76" s="189"/>
      <c r="AD76" s="189"/>
      <c r="AE76" s="690">
        <f t="shared" si="71"/>
        <v>107.4</v>
      </c>
      <c r="AF76" s="687"/>
      <c r="AG76" s="687"/>
      <c r="AH76" s="342">
        <v>107.4</v>
      </c>
      <c r="AI76" s="1086">
        <f t="shared" ref="AI76:AI78" si="94">AJ76+AK76+AL76</f>
        <v>107.4</v>
      </c>
      <c r="AJ76" s="1084"/>
      <c r="AK76" s="1084"/>
      <c r="AL76" s="1086">
        <v>107.4</v>
      </c>
    </row>
    <row r="77" spans="1:38" s="124" customFormat="1" ht="66" customHeight="1" x14ac:dyDescent="0.25">
      <c r="A77" s="135" t="s">
        <v>359</v>
      </c>
      <c r="B77" s="795" t="s">
        <v>309</v>
      </c>
      <c r="C77" s="122" t="s">
        <v>76</v>
      </c>
      <c r="D77" s="123"/>
      <c r="E77" s="204">
        <f t="shared" si="78"/>
        <v>1031.5</v>
      </c>
      <c r="F77" s="204">
        <f t="shared" si="85"/>
        <v>0</v>
      </c>
      <c r="G77" s="204">
        <f t="shared" si="85"/>
        <v>0</v>
      </c>
      <c r="H77" s="204">
        <f t="shared" si="85"/>
        <v>1031.5</v>
      </c>
      <c r="I77" s="901">
        <f t="shared" si="80"/>
        <v>152.19999999999999</v>
      </c>
      <c r="J77" s="901"/>
      <c r="K77" s="901"/>
      <c r="L77" s="913">
        <v>152.19999999999999</v>
      </c>
      <c r="M77" s="901">
        <f t="shared" si="93"/>
        <v>198.2</v>
      </c>
      <c r="N77" s="901"/>
      <c r="O77" s="932"/>
      <c r="P77" s="889">
        <v>198.2</v>
      </c>
      <c r="Q77" s="901">
        <f t="shared" si="81"/>
        <v>65.099999999999994</v>
      </c>
      <c r="R77" s="901"/>
      <c r="S77" s="889"/>
      <c r="T77" s="889">
        <v>65.099999999999994</v>
      </c>
      <c r="U77" s="204">
        <f t="shared" si="82"/>
        <v>151</v>
      </c>
      <c r="V77" s="204"/>
      <c r="W77" s="222"/>
      <c r="X77" s="222">
        <v>151</v>
      </c>
      <c r="Y77" s="714">
        <f t="shared" si="83"/>
        <v>155</v>
      </c>
      <c r="Z77" s="233"/>
      <c r="AA77" s="210"/>
      <c r="AB77" s="209">
        <v>155</v>
      </c>
      <c r="AC77" s="190"/>
      <c r="AD77" s="190"/>
      <c r="AE77" s="690">
        <f t="shared" si="71"/>
        <v>155</v>
      </c>
      <c r="AF77" s="688"/>
      <c r="AG77" s="688"/>
      <c r="AH77" s="342">
        <v>155</v>
      </c>
      <c r="AI77" s="1086">
        <f t="shared" si="94"/>
        <v>155</v>
      </c>
      <c r="AJ77" s="1085"/>
      <c r="AK77" s="1085"/>
      <c r="AL77" s="710">
        <v>155</v>
      </c>
    </row>
    <row r="78" spans="1:38" s="124" customFormat="1" ht="52.15" customHeight="1" x14ac:dyDescent="0.25">
      <c r="A78" s="135" t="s">
        <v>358</v>
      </c>
      <c r="B78" s="331" t="s">
        <v>360</v>
      </c>
      <c r="C78" s="122" t="s">
        <v>44</v>
      </c>
      <c r="D78" s="123"/>
      <c r="E78" s="204">
        <f>F78+G78+H78</f>
        <v>12799.74278</v>
      </c>
      <c r="F78" s="204">
        <f t="shared" si="85"/>
        <v>0</v>
      </c>
      <c r="G78" s="204">
        <f t="shared" si="85"/>
        <v>0</v>
      </c>
      <c r="H78" s="204">
        <f t="shared" si="85"/>
        <v>12799.74278</v>
      </c>
      <c r="I78" s="901">
        <f t="shared" si="80"/>
        <v>2458.52</v>
      </c>
      <c r="J78" s="901"/>
      <c r="K78" s="911"/>
      <c r="L78" s="913">
        <v>2458.52</v>
      </c>
      <c r="M78" s="901">
        <f>N78+O78+P78</f>
        <v>1711.24</v>
      </c>
      <c r="N78" s="901"/>
      <c r="O78" s="932"/>
      <c r="P78" s="889">
        <v>1711.24</v>
      </c>
      <c r="Q78" s="901">
        <f t="shared" si="81"/>
        <v>1666</v>
      </c>
      <c r="R78" s="901"/>
      <c r="S78" s="889"/>
      <c r="T78" s="889">
        <v>1666</v>
      </c>
      <c r="U78" s="204">
        <f t="shared" si="82"/>
        <v>1692.98278</v>
      </c>
      <c r="V78" s="204"/>
      <c r="W78" s="222"/>
      <c r="X78" s="222">
        <f>1692.88+0.10278</f>
        <v>1692.98278</v>
      </c>
      <c r="Y78" s="714">
        <f t="shared" si="83"/>
        <v>1757</v>
      </c>
      <c r="Z78" s="214"/>
      <c r="AA78" s="210"/>
      <c r="AB78" s="209">
        <v>1757</v>
      </c>
      <c r="AC78" s="190"/>
      <c r="AD78" s="190"/>
      <c r="AE78" s="690">
        <f t="shared" si="71"/>
        <v>1757</v>
      </c>
      <c r="AF78" s="688"/>
      <c r="AG78" s="688"/>
      <c r="AH78" s="342">
        <v>1757</v>
      </c>
      <c r="AI78" s="1086">
        <f t="shared" si="94"/>
        <v>1757</v>
      </c>
      <c r="AJ78" s="1085"/>
      <c r="AK78" s="1085"/>
      <c r="AL78" s="710">
        <v>1757</v>
      </c>
    </row>
    <row r="79" spans="1:38" ht="72.75" x14ac:dyDescent="0.25">
      <c r="A79" s="82"/>
      <c r="B79" s="807" t="s">
        <v>197</v>
      </c>
      <c r="C79" s="522"/>
      <c r="D79" s="522"/>
      <c r="E79" s="201">
        <f t="shared" si="78"/>
        <v>2011.7280000000001</v>
      </c>
      <c r="F79" s="201">
        <f t="shared" si="85"/>
        <v>0</v>
      </c>
      <c r="G79" s="201">
        <f t="shared" si="85"/>
        <v>0</v>
      </c>
      <c r="H79" s="201">
        <f>L79+P79+T79+X79+AB79+AH79+AL79</f>
        <v>2011.7280000000001</v>
      </c>
      <c r="I79" s="899">
        <f t="shared" si="80"/>
        <v>60</v>
      </c>
      <c r="J79" s="933">
        <f>J80</f>
        <v>0</v>
      </c>
      <c r="K79" s="933">
        <f>K80</f>
        <v>0</v>
      </c>
      <c r="L79" s="933">
        <f>L80</f>
        <v>60</v>
      </c>
      <c r="M79" s="899">
        <f t="shared" si="93"/>
        <v>120</v>
      </c>
      <c r="N79" s="933">
        <f t="shared" ref="N79:P80" si="95">N80</f>
        <v>0</v>
      </c>
      <c r="O79" s="933">
        <f t="shared" si="95"/>
        <v>0</v>
      </c>
      <c r="P79" s="933">
        <f t="shared" si="95"/>
        <v>120</v>
      </c>
      <c r="Q79" s="899">
        <f t="shared" si="81"/>
        <v>151.72800000000001</v>
      </c>
      <c r="R79" s="933">
        <f t="shared" ref="R79:S80" si="96">R80</f>
        <v>0</v>
      </c>
      <c r="S79" s="933">
        <f t="shared" si="96"/>
        <v>0</v>
      </c>
      <c r="T79" s="933">
        <f>T80+T88</f>
        <v>151.72800000000001</v>
      </c>
      <c r="U79" s="201">
        <f t="shared" si="82"/>
        <v>120</v>
      </c>
      <c r="V79" s="808">
        <f t="shared" ref="V79:AB80" si="97">V80</f>
        <v>0</v>
      </c>
      <c r="W79" s="808">
        <f t="shared" si="97"/>
        <v>0</v>
      </c>
      <c r="X79" s="808">
        <f>X80+X88</f>
        <v>120</v>
      </c>
      <c r="Y79" s="201">
        <f>Z79+AA79+AB79</f>
        <v>380</v>
      </c>
      <c r="Z79" s="808">
        <f t="shared" si="97"/>
        <v>0</v>
      </c>
      <c r="AA79" s="808">
        <f t="shared" si="97"/>
        <v>0</v>
      </c>
      <c r="AB79" s="201">
        <f>AB80+AB88</f>
        <v>380</v>
      </c>
      <c r="AC79" s="809"/>
      <c r="AD79" s="809"/>
      <c r="AE79" s="810">
        <f t="shared" si="71"/>
        <v>540</v>
      </c>
      <c r="AF79" s="201">
        <f t="shared" ref="AF79:AG79" si="98">AF80</f>
        <v>0</v>
      </c>
      <c r="AG79" s="201">
        <f t="shared" si="98"/>
        <v>0</v>
      </c>
      <c r="AH79" s="808">
        <f>AH80+AH88</f>
        <v>540</v>
      </c>
      <c r="AI79" s="1087">
        <f>AJ79+AK79+AL79</f>
        <v>640</v>
      </c>
      <c r="AJ79" s="1087"/>
      <c r="AK79" s="1087"/>
      <c r="AL79" s="1087">
        <f>AL80+AL88</f>
        <v>640</v>
      </c>
    </row>
    <row r="80" spans="1:38" ht="100.5" customHeight="1" x14ac:dyDescent="0.25">
      <c r="A80" s="86" t="s">
        <v>244</v>
      </c>
      <c r="B80" s="517" t="s">
        <v>571</v>
      </c>
      <c r="C80" s="125" t="s">
        <v>65</v>
      </c>
      <c r="D80" s="125"/>
      <c r="E80" s="203">
        <f>F80+G80+H80</f>
        <v>761.72800000000007</v>
      </c>
      <c r="F80" s="203">
        <f t="shared" si="85"/>
        <v>0</v>
      </c>
      <c r="G80" s="203">
        <f t="shared" si="85"/>
        <v>0</v>
      </c>
      <c r="H80" s="203">
        <f>L80+P80+T80+X80+AB80+AH80+AL80</f>
        <v>761.72800000000007</v>
      </c>
      <c r="I80" s="900">
        <f t="shared" si="80"/>
        <v>60</v>
      </c>
      <c r="J80" s="900"/>
      <c r="K80" s="900">
        <f>K81</f>
        <v>0</v>
      </c>
      <c r="L80" s="900">
        <f>L81</f>
        <v>60</v>
      </c>
      <c r="M80" s="900">
        <f t="shared" si="93"/>
        <v>120</v>
      </c>
      <c r="N80" s="900">
        <f t="shared" si="95"/>
        <v>0</v>
      </c>
      <c r="O80" s="900">
        <f t="shared" si="95"/>
        <v>0</v>
      </c>
      <c r="P80" s="900">
        <f t="shared" si="95"/>
        <v>120</v>
      </c>
      <c r="Q80" s="900">
        <f t="shared" si="81"/>
        <v>101.72799999999999</v>
      </c>
      <c r="R80" s="900">
        <f t="shared" si="96"/>
        <v>0</v>
      </c>
      <c r="S80" s="900">
        <f t="shared" si="96"/>
        <v>0</v>
      </c>
      <c r="T80" s="900">
        <v>101.72799999999999</v>
      </c>
      <c r="U80" s="203">
        <f t="shared" si="82"/>
        <v>120</v>
      </c>
      <c r="V80" s="203">
        <f t="shared" si="97"/>
        <v>0</v>
      </c>
      <c r="W80" s="203">
        <f t="shared" si="97"/>
        <v>0</v>
      </c>
      <c r="X80" s="805">
        <f t="shared" si="97"/>
        <v>120</v>
      </c>
      <c r="Y80" s="203">
        <f>Z80+AA80+AB80</f>
        <v>120</v>
      </c>
      <c r="Z80" s="203">
        <f t="shared" si="97"/>
        <v>0</v>
      </c>
      <c r="AA80" s="203">
        <f t="shared" si="97"/>
        <v>0</v>
      </c>
      <c r="AB80" s="203">
        <f t="shared" si="97"/>
        <v>120</v>
      </c>
      <c r="AC80" s="798"/>
      <c r="AD80" s="798"/>
      <c r="AE80" s="806">
        <f t="shared" si="71"/>
        <v>120</v>
      </c>
      <c r="AF80" s="801"/>
      <c r="AG80" s="801"/>
      <c r="AH80" s="949">
        <v>120</v>
      </c>
      <c r="AI80" s="838">
        <f>AJ80+AK80+AL80</f>
        <v>120</v>
      </c>
      <c r="AJ80" s="838"/>
      <c r="AK80" s="838"/>
      <c r="AL80" s="838">
        <v>120</v>
      </c>
    </row>
    <row r="81" spans="1:38" ht="0.6" hidden="1" customHeight="1" x14ac:dyDescent="0.25">
      <c r="A81" s="130" t="s">
        <v>255</v>
      </c>
      <c r="B81" s="138" t="s">
        <v>272</v>
      </c>
      <c r="C81" s="139" t="s">
        <v>183</v>
      </c>
      <c r="D81" s="140"/>
      <c r="E81" s="203">
        <f t="shared" ref="E81:E88" si="99">F81+G81+H81</f>
        <v>521.72800000000007</v>
      </c>
      <c r="F81" s="203">
        <f t="shared" ref="F81:H88" si="100">J81+N81+R81+V81+Z81+AF81+AJ81</f>
        <v>0</v>
      </c>
      <c r="G81" s="203">
        <f t="shared" si="100"/>
        <v>0</v>
      </c>
      <c r="H81" s="203">
        <f t="shared" si="100"/>
        <v>521.72800000000007</v>
      </c>
      <c r="I81" s="919">
        <f t="shared" si="80"/>
        <v>60</v>
      </c>
      <c r="J81" s="919"/>
      <c r="K81" s="919">
        <f>O81+S81+Z81</f>
        <v>0</v>
      </c>
      <c r="L81" s="919">
        <v>60</v>
      </c>
      <c r="M81" s="919">
        <f t="shared" si="93"/>
        <v>120</v>
      </c>
      <c r="N81" s="919"/>
      <c r="O81" s="919"/>
      <c r="P81" s="919">
        <v>120</v>
      </c>
      <c r="Q81" s="900">
        <f t="shared" si="81"/>
        <v>101.72799999999999</v>
      </c>
      <c r="R81" s="903"/>
      <c r="S81" s="903"/>
      <c r="T81" s="900">
        <v>101.72799999999999</v>
      </c>
      <c r="U81" s="205">
        <f t="shared" si="82"/>
        <v>120</v>
      </c>
      <c r="V81" s="205"/>
      <c r="W81" s="205"/>
      <c r="X81" s="212">
        <v>120</v>
      </c>
      <c r="Y81" s="203">
        <f t="shared" ref="Y81:Y88" si="101">Z81+AA81+AB81</f>
        <v>120</v>
      </c>
      <c r="Z81" s="226"/>
      <c r="AA81" s="205"/>
      <c r="AB81" s="226">
        <v>120</v>
      </c>
      <c r="AC81" s="189"/>
      <c r="AD81" s="189"/>
      <c r="AE81" s="806">
        <f t="shared" si="71"/>
        <v>0</v>
      </c>
      <c r="AI81" s="952">
        <f t="shared" ref="AI81:AI88" si="102">AJ81+AK81+AL81</f>
        <v>0</v>
      </c>
      <c r="AJ81" s="952"/>
      <c r="AK81" s="952"/>
      <c r="AL81" s="952"/>
    </row>
    <row r="82" spans="1:38" ht="15" hidden="1" x14ac:dyDescent="0.25">
      <c r="E82" s="203">
        <f t="shared" si="99"/>
        <v>101.72799999999999</v>
      </c>
      <c r="F82" s="203">
        <f t="shared" si="100"/>
        <v>0</v>
      </c>
      <c r="G82" s="203">
        <f t="shared" si="100"/>
        <v>0</v>
      </c>
      <c r="H82" s="203">
        <f t="shared" si="100"/>
        <v>101.72799999999999</v>
      </c>
      <c r="I82" s="898"/>
      <c r="J82" s="898"/>
      <c r="K82" s="898"/>
      <c r="L82" s="898"/>
      <c r="M82" s="938"/>
      <c r="N82" s="938"/>
      <c r="O82" s="938"/>
      <c r="P82" s="938"/>
      <c r="Q82" s="900">
        <f t="shared" si="81"/>
        <v>101.72799999999999</v>
      </c>
      <c r="R82" s="939"/>
      <c r="S82" s="939"/>
      <c r="T82" s="900">
        <v>101.72799999999999</v>
      </c>
      <c r="U82" s="192"/>
      <c r="V82" s="192"/>
      <c r="W82" s="192"/>
      <c r="X82" s="193"/>
      <c r="Y82" s="203">
        <f t="shared" si="101"/>
        <v>0</v>
      </c>
      <c r="Z82" s="189"/>
      <c r="AA82" s="189"/>
      <c r="AB82" s="189"/>
      <c r="AC82" s="189"/>
      <c r="AD82" s="189"/>
      <c r="AE82" s="806">
        <f t="shared" si="71"/>
        <v>0</v>
      </c>
      <c r="AI82" s="952">
        <f t="shared" si="102"/>
        <v>0</v>
      </c>
      <c r="AJ82" s="952"/>
      <c r="AK82" s="952"/>
      <c r="AL82" s="952"/>
    </row>
    <row r="83" spans="1:38" ht="24.75" hidden="1" x14ac:dyDescent="0.25">
      <c r="D83" s="127" t="s">
        <v>7</v>
      </c>
      <c r="E83" s="203" t="e">
        <f t="shared" si="99"/>
        <v>#REF!</v>
      </c>
      <c r="F83" s="203">
        <f t="shared" si="100"/>
        <v>0</v>
      </c>
      <c r="G83" s="203" t="e">
        <f t="shared" si="100"/>
        <v>#REF!</v>
      </c>
      <c r="H83" s="203">
        <f t="shared" si="100"/>
        <v>101.72799999999999</v>
      </c>
      <c r="I83" s="898" t="e">
        <f>I14+#REF!+I15+#REF!+I18+#REF!+I35+#REF!+#REF!+#REF!+#REF!</f>
        <v>#REF!</v>
      </c>
      <c r="J83" s="898"/>
      <c r="K83" s="898" t="e">
        <f>K14+#REF!+K15+#REF!+K18+#REF!+K35+#REF!+#REF!+#REF!+#REF!</f>
        <v>#REF!</v>
      </c>
      <c r="L83" s="898"/>
      <c r="M83" s="938"/>
      <c r="N83" s="938"/>
      <c r="O83" s="938"/>
      <c r="P83" s="938"/>
      <c r="Q83" s="900">
        <f t="shared" si="81"/>
        <v>101.72799999999999</v>
      </c>
      <c r="R83" s="939"/>
      <c r="S83" s="939"/>
      <c r="T83" s="900">
        <v>101.72799999999999</v>
      </c>
      <c r="U83" s="192"/>
      <c r="V83" s="192"/>
      <c r="W83" s="192"/>
      <c r="X83" s="193"/>
      <c r="Y83" s="203">
        <f t="shared" si="101"/>
        <v>0</v>
      </c>
      <c r="Z83" s="189"/>
      <c r="AA83" s="189"/>
      <c r="AB83" s="189"/>
      <c r="AC83" s="189"/>
      <c r="AD83" s="189"/>
      <c r="AE83" s="806">
        <f t="shared" si="71"/>
        <v>0</v>
      </c>
      <c r="AI83" s="952">
        <f t="shared" si="102"/>
        <v>0</v>
      </c>
      <c r="AJ83" s="952"/>
      <c r="AK83" s="952"/>
      <c r="AL83" s="952"/>
    </row>
    <row r="84" spans="1:38" ht="24.75" hidden="1" x14ac:dyDescent="0.25">
      <c r="D84" s="127" t="s">
        <v>7</v>
      </c>
      <c r="E84" s="203">
        <f t="shared" si="99"/>
        <v>7472.7280000000001</v>
      </c>
      <c r="F84" s="203">
        <f t="shared" si="100"/>
        <v>0</v>
      </c>
      <c r="G84" s="203">
        <f t="shared" si="100"/>
        <v>7371</v>
      </c>
      <c r="H84" s="203">
        <f t="shared" si="100"/>
        <v>101.72799999999999</v>
      </c>
      <c r="I84" s="898">
        <v>7371</v>
      </c>
      <c r="J84" s="898"/>
      <c r="K84" s="898">
        <v>7371</v>
      </c>
      <c r="L84" s="898"/>
      <c r="M84" s="938"/>
      <c r="N84" s="938"/>
      <c r="O84" s="938"/>
      <c r="P84" s="938"/>
      <c r="Q84" s="900">
        <f t="shared" si="81"/>
        <v>101.72799999999999</v>
      </c>
      <c r="R84" s="939"/>
      <c r="S84" s="939"/>
      <c r="T84" s="900">
        <v>101.72799999999999</v>
      </c>
      <c r="U84" s="192"/>
      <c r="V84" s="192"/>
      <c r="W84" s="192"/>
      <c r="X84" s="193"/>
      <c r="Y84" s="203">
        <f t="shared" si="101"/>
        <v>0</v>
      </c>
      <c r="Z84" s="189"/>
      <c r="AA84" s="189"/>
      <c r="AB84" s="189"/>
      <c r="AC84" s="189"/>
      <c r="AD84" s="189"/>
      <c r="AE84" s="806">
        <f t="shared" si="71"/>
        <v>0</v>
      </c>
      <c r="AI84" s="952">
        <f t="shared" si="102"/>
        <v>0</v>
      </c>
      <c r="AJ84" s="952"/>
      <c r="AK84" s="952"/>
      <c r="AL84" s="952"/>
    </row>
    <row r="85" spans="1:38" ht="15" hidden="1" x14ac:dyDescent="0.25">
      <c r="E85" s="203" t="e">
        <f t="shared" si="99"/>
        <v>#REF!</v>
      </c>
      <c r="F85" s="203">
        <f t="shared" si="100"/>
        <v>0</v>
      </c>
      <c r="G85" s="203" t="e">
        <f t="shared" si="100"/>
        <v>#REF!</v>
      </c>
      <c r="H85" s="203">
        <f t="shared" si="100"/>
        <v>101.72799999999999</v>
      </c>
      <c r="I85" s="898" t="e">
        <f>I84-I83</f>
        <v>#REF!</v>
      </c>
      <c r="J85" s="898"/>
      <c r="K85" s="898" t="e">
        <f>K84-K83</f>
        <v>#REF!</v>
      </c>
      <c r="L85" s="898"/>
      <c r="M85" s="938"/>
      <c r="N85" s="938"/>
      <c r="O85" s="938"/>
      <c r="P85" s="938"/>
      <c r="Q85" s="900">
        <f t="shared" si="81"/>
        <v>101.72799999999999</v>
      </c>
      <c r="R85" s="939"/>
      <c r="S85" s="939"/>
      <c r="T85" s="900">
        <v>101.72799999999999</v>
      </c>
      <c r="U85" s="192"/>
      <c r="V85" s="192"/>
      <c r="W85" s="192"/>
      <c r="X85" s="193"/>
      <c r="Y85" s="203">
        <f t="shared" si="101"/>
        <v>0</v>
      </c>
      <c r="Z85" s="189"/>
      <c r="AA85" s="189"/>
      <c r="AB85" s="189"/>
      <c r="AC85" s="189"/>
      <c r="AD85" s="189"/>
      <c r="AE85" s="806">
        <f t="shared" si="71"/>
        <v>0</v>
      </c>
      <c r="AI85" s="952">
        <f t="shared" si="102"/>
        <v>0</v>
      </c>
      <c r="AJ85" s="952"/>
      <c r="AK85" s="952"/>
      <c r="AL85" s="952"/>
    </row>
    <row r="86" spans="1:38" ht="15" hidden="1" x14ac:dyDescent="0.25">
      <c r="E86" s="203" t="e">
        <f t="shared" si="99"/>
        <v>#REF!</v>
      </c>
      <c r="F86" s="203">
        <f t="shared" si="100"/>
        <v>0</v>
      </c>
      <c r="G86" s="203" t="e">
        <f t="shared" si="100"/>
        <v>#REF!</v>
      </c>
      <c r="H86" s="203">
        <f t="shared" si="100"/>
        <v>101.72799999999999</v>
      </c>
      <c r="I86" s="898" t="e">
        <f>I83+#REF!</f>
        <v>#REF!</v>
      </c>
      <c r="J86" s="898"/>
      <c r="K86" s="898" t="e">
        <f>K83+#REF!</f>
        <v>#REF!</v>
      </c>
      <c r="L86" s="898"/>
      <c r="M86" s="938"/>
      <c r="N86" s="938"/>
      <c r="O86" s="938"/>
      <c r="P86" s="938"/>
      <c r="Q86" s="900">
        <f t="shared" si="81"/>
        <v>101.72799999999999</v>
      </c>
      <c r="R86" s="939"/>
      <c r="S86" s="939"/>
      <c r="T86" s="900">
        <v>101.72799999999999</v>
      </c>
      <c r="U86" s="192"/>
      <c r="V86" s="192"/>
      <c r="W86" s="192"/>
      <c r="X86" s="193"/>
      <c r="Y86" s="203">
        <f t="shared" si="101"/>
        <v>0</v>
      </c>
      <c r="Z86" s="189"/>
      <c r="AA86" s="189"/>
      <c r="AB86" s="189"/>
      <c r="AC86" s="189"/>
      <c r="AD86" s="189"/>
      <c r="AE86" s="806">
        <f t="shared" si="71"/>
        <v>0</v>
      </c>
      <c r="AI86" s="952">
        <f t="shared" si="102"/>
        <v>0</v>
      </c>
      <c r="AJ86" s="952"/>
      <c r="AK86" s="952"/>
      <c r="AL86" s="952"/>
    </row>
    <row r="87" spans="1:38" ht="15" hidden="1" x14ac:dyDescent="0.25">
      <c r="E87" s="203" t="e">
        <f t="shared" si="99"/>
        <v>#REF!</v>
      </c>
      <c r="F87" s="203">
        <f t="shared" si="100"/>
        <v>0</v>
      </c>
      <c r="G87" s="203" t="e">
        <f t="shared" si="100"/>
        <v>#REF!</v>
      </c>
      <c r="H87" s="203">
        <f t="shared" si="100"/>
        <v>101.72799999999999</v>
      </c>
      <c r="I87" s="898" t="e">
        <f>I84-I86</f>
        <v>#REF!</v>
      </c>
      <c r="J87" s="898"/>
      <c r="K87" s="898" t="e">
        <f>K84-K86</f>
        <v>#REF!</v>
      </c>
      <c r="L87" s="898"/>
      <c r="M87" s="938"/>
      <c r="N87" s="938"/>
      <c r="O87" s="938"/>
      <c r="P87" s="938"/>
      <c r="Q87" s="900">
        <f t="shared" si="81"/>
        <v>101.72799999999999</v>
      </c>
      <c r="R87" s="939"/>
      <c r="S87" s="939"/>
      <c r="T87" s="900">
        <v>101.72799999999999</v>
      </c>
      <c r="U87" s="192"/>
      <c r="V87" s="192"/>
      <c r="W87" s="192"/>
      <c r="X87" s="193"/>
      <c r="Y87" s="203">
        <f t="shared" si="101"/>
        <v>0</v>
      </c>
      <c r="Z87" s="189"/>
      <c r="AA87" s="189"/>
      <c r="AB87" s="189"/>
      <c r="AC87" s="189"/>
      <c r="AD87" s="189"/>
      <c r="AE87" s="806">
        <f t="shared" si="71"/>
        <v>0</v>
      </c>
      <c r="AI87" s="952">
        <f t="shared" si="102"/>
        <v>0</v>
      </c>
      <c r="AJ87" s="952"/>
      <c r="AK87" s="952"/>
      <c r="AL87" s="952"/>
    </row>
    <row r="88" spans="1:38" ht="54" customHeight="1" x14ac:dyDescent="0.25">
      <c r="A88" s="86" t="s">
        <v>568</v>
      </c>
      <c r="B88" s="800" t="s">
        <v>570</v>
      </c>
      <c r="C88" s="801"/>
      <c r="D88" s="801"/>
      <c r="E88" s="203">
        <f t="shared" si="99"/>
        <v>1250</v>
      </c>
      <c r="F88" s="203">
        <f t="shared" si="100"/>
        <v>0</v>
      </c>
      <c r="G88" s="203">
        <f t="shared" si="100"/>
        <v>0</v>
      </c>
      <c r="H88" s="203">
        <f t="shared" si="100"/>
        <v>1250</v>
      </c>
      <c r="I88" s="940"/>
      <c r="J88" s="940"/>
      <c r="K88" s="940"/>
      <c r="L88" s="940"/>
      <c r="M88" s="941"/>
      <c r="N88" s="941"/>
      <c r="O88" s="941"/>
      <c r="P88" s="941"/>
      <c r="Q88" s="900">
        <f t="shared" si="81"/>
        <v>50</v>
      </c>
      <c r="R88" s="940"/>
      <c r="S88" s="940"/>
      <c r="T88" s="900">
        <v>50</v>
      </c>
      <c r="U88" s="803"/>
      <c r="V88" s="803"/>
      <c r="W88" s="803"/>
      <c r="X88" s="804"/>
      <c r="Y88" s="203">
        <f t="shared" si="101"/>
        <v>260</v>
      </c>
      <c r="Z88" s="802"/>
      <c r="AA88" s="802"/>
      <c r="AB88" s="1080">
        <v>260</v>
      </c>
      <c r="AC88" s="1077"/>
      <c r="AD88" s="1077"/>
      <c r="AE88" s="806">
        <f t="shared" si="71"/>
        <v>420</v>
      </c>
      <c r="AF88" s="1078"/>
      <c r="AG88" s="1078"/>
      <c r="AH88" s="949">
        <v>420</v>
      </c>
      <c r="AI88" s="838">
        <f t="shared" si="102"/>
        <v>520</v>
      </c>
      <c r="AJ88" s="838"/>
      <c r="AK88" s="838"/>
      <c r="AL88" s="838">
        <v>520</v>
      </c>
    </row>
    <row r="89" spans="1:38" ht="15" x14ac:dyDescent="0.25">
      <c r="E89" s="189"/>
      <c r="F89" s="189"/>
      <c r="G89" s="189"/>
      <c r="H89" s="189"/>
      <c r="I89" s="191"/>
      <c r="J89" s="191"/>
      <c r="K89" s="191"/>
      <c r="L89" s="191"/>
      <c r="M89" s="189"/>
      <c r="N89" s="189"/>
      <c r="O89" s="189"/>
      <c r="P89" s="189"/>
      <c r="Q89" s="192"/>
      <c r="R89" s="192"/>
      <c r="S89" s="192"/>
      <c r="T89" s="192"/>
      <c r="U89" s="192"/>
      <c r="V89" s="192"/>
      <c r="W89" s="192"/>
      <c r="X89" s="193"/>
      <c r="Y89" s="189"/>
      <c r="Z89" s="189"/>
      <c r="AA89" s="189"/>
      <c r="AB89" s="189"/>
      <c r="AC89" s="189"/>
      <c r="AD89" s="189"/>
      <c r="AE89" s="189"/>
      <c r="AI89" s="958"/>
      <c r="AJ89" s="958"/>
      <c r="AK89" s="958"/>
      <c r="AL89" s="958"/>
    </row>
    <row r="90" spans="1:38" ht="15" x14ac:dyDescent="0.25">
      <c r="E90" s="189"/>
      <c r="F90" s="189"/>
      <c r="G90" s="189"/>
      <c r="H90" s="189"/>
      <c r="I90" s="191"/>
      <c r="J90" s="191"/>
      <c r="K90" s="191"/>
      <c r="L90" s="191"/>
      <c r="M90" s="189"/>
      <c r="N90" s="189"/>
      <c r="O90" s="189"/>
      <c r="P90" s="189"/>
      <c r="Q90" s="192"/>
      <c r="R90" s="192"/>
      <c r="S90" s="192"/>
      <c r="T90" s="192"/>
      <c r="U90" s="192"/>
      <c r="V90" s="192"/>
      <c r="W90" s="192"/>
      <c r="X90" s="193"/>
      <c r="Y90" s="189"/>
      <c r="Z90" s="189"/>
      <c r="AA90" s="189"/>
      <c r="AB90" s="189"/>
      <c r="AC90" s="189"/>
      <c r="AD90" s="189"/>
      <c r="AE90" s="189"/>
    </row>
    <row r="91" spans="1:38" ht="15" x14ac:dyDescent="0.25">
      <c r="E91" s="189"/>
      <c r="F91" s="189"/>
      <c r="G91" s="189"/>
      <c r="H91" s="189"/>
      <c r="I91" s="191"/>
      <c r="J91" s="191"/>
      <c r="K91" s="191"/>
      <c r="L91" s="191"/>
      <c r="M91" s="189"/>
      <c r="N91" s="189"/>
      <c r="O91" s="189"/>
      <c r="P91" s="189"/>
      <c r="Q91" s="192"/>
      <c r="R91" s="192"/>
      <c r="S91" s="192"/>
      <c r="T91" s="192"/>
      <c r="U91" s="192"/>
      <c r="V91" s="192"/>
      <c r="W91" s="192"/>
      <c r="X91" s="193"/>
      <c r="Y91" s="189"/>
      <c r="Z91" s="189"/>
      <c r="AA91" s="189"/>
      <c r="AB91" s="189"/>
      <c r="AC91" s="189"/>
      <c r="AD91" s="189"/>
      <c r="AE91" s="189"/>
    </row>
  </sheetData>
  <mergeCells count="11">
    <mergeCell ref="AI4:AL4"/>
    <mergeCell ref="AE4:AH4"/>
    <mergeCell ref="Y4:AB4"/>
    <mergeCell ref="B2:X2"/>
    <mergeCell ref="B1:X1"/>
    <mergeCell ref="Q4:T4"/>
    <mergeCell ref="A4:C4"/>
    <mergeCell ref="E4:H4"/>
    <mergeCell ref="I4:L4"/>
    <mergeCell ref="U4:X4"/>
    <mergeCell ref="M4:P4"/>
  </mergeCells>
  <pageMargins left="0" right="0" top="0" bottom="0" header="0.31496062992125984" footer="0.31496062992125984"/>
  <pageSetup paperSize="9" scale="41" orientation="landscape" r:id="rId1"/>
  <rowBreaks count="3" manualBreakCount="3">
    <brk id="27" max="37" man="1"/>
    <brk id="54" max="37" man="1"/>
    <brk id="89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P216"/>
  <sheetViews>
    <sheetView view="pageBreakPreview" zoomScale="82" zoomScaleNormal="100" zoomScaleSheetLayoutView="82" workbookViewId="0">
      <pane xSplit="3" ySplit="5" topLeftCell="P6" activePane="bottomRight" state="frozen"/>
      <selection pane="topRight" activeCell="D1" sqref="D1"/>
      <selection pane="bottomLeft" activeCell="A6" sqref="A6"/>
      <selection pane="bottomRight" activeCell="W78" sqref="W78"/>
    </sheetView>
  </sheetViews>
  <sheetFormatPr defaultColWidth="8" defaultRowHeight="12" x14ac:dyDescent="0.2"/>
  <cols>
    <col min="1" max="1" width="7" style="141" customWidth="1"/>
    <col min="2" max="2" width="30.140625" style="78" customWidth="1"/>
    <col min="3" max="3" width="13.7109375" style="78" customWidth="1"/>
    <col min="4" max="4" width="11.140625" style="78" customWidth="1"/>
    <col min="5" max="5" width="7.7109375" style="78" customWidth="1"/>
    <col min="6" max="6" width="10.140625" style="78" customWidth="1"/>
    <col min="7" max="7" width="11.28515625" style="78" customWidth="1"/>
    <col min="8" max="8" width="7.28515625" style="78" customWidth="1"/>
    <col min="9" max="9" width="4.140625" style="78" customWidth="1"/>
    <col min="10" max="10" width="7.140625" style="78" customWidth="1"/>
    <col min="11" max="11" width="7.140625" style="79" customWidth="1"/>
    <col min="12" max="12" width="7.5703125" style="79" customWidth="1"/>
    <col min="13" max="13" width="5.7109375" style="79" customWidth="1"/>
    <col min="14" max="14" width="7.42578125" style="144" customWidth="1"/>
    <col min="15" max="15" width="7" style="144" customWidth="1"/>
    <col min="16" max="16" width="7.85546875" style="144" customWidth="1"/>
    <col min="17" max="17" width="7.42578125" style="144" customWidth="1"/>
    <col min="18" max="18" width="7.28515625" style="144" customWidth="1"/>
    <col min="19" max="19" width="7.5703125" style="144" customWidth="1"/>
    <col min="20" max="20" width="11.5703125" style="144" customWidth="1"/>
    <col min="21" max="21" width="6.42578125" style="144" customWidth="1"/>
    <col min="22" max="22" width="14" style="144" customWidth="1"/>
    <col min="23" max="23" width="12.85546875" style="144" customWidth="1"/>
    <col min="24" max="24" width="9" style="78" hidden="1" customWidth="1"/>
    <col min="25" max="25" width="8.5703125" style="78" hidden="1" customWidth="1"/>
    <col min="26" max="28" width="8" style="78" hidden="1" customWidth="1"/>
    <col min="29" max="29" width="3" style="78" hidden="1" customWidth="1"/>
    <col min="30" max="30" width="9" style="78" customWidth="1"/>
    <col min="31" max="31" width="4.28515625" style="78" customWidth="1"/>
    <col min="32" max="32" width="9" style="78" customWidth="1"/>
    <col min="33" max="33" width="10.42578125" style="78" customWidth="1"/>
    <col min="34" max="34" width="9" style="78" customWidth="1"/>
    <col min="35" max="35" width="4.42578125" style="78" customWidth="1"/>
    <col min="36" max="36" width="9.28515625" style="78" customWidth="1"/>
    <col min="37" max="37" width="9.7109375" style="78" customWidth="1"/>
    <col min="38" max="38" width="9.5703125" style="78" customWidth="1"/>
    <col min="39" max="39" width="8" style="78"/>
    <col min="40" max="40" width="9" style="78" bestFit="1" customWidth="1"/>
    <col min="41" max="41" width="9.42578125" style="78" customWidth="1"/>
    <col min="42" max="261" width="8" style="78"/>
    <col min="262" max="262" width="6" style="78" customWidth="1"/>
    <col min="263" max="263" width="30.140625" style="78" customWidth="1"/>
    <col min="264" max="264" width="13.42578125" style="78" customWidth="1"/>
    <col min="265" max="265" width="10.42578125" style="78" customWidth="1"/>
    <col min="266" max="266" width="10.140625" style="78" customWidth="1"/>
    <col min="267" max="269" width="9.28515625" style="78" customWidth="1"/>
    <col min="270" max="270" width="9" style="78" customWidth="1"/>
    <col min="271" max="271" width="9.140625" style="78" customWidth="1"/>
    <col min="272" max="272" width="10.5703125" style="78" customWidth="1"/>
    <col min="273" max="273" width="10.140625" style="78" customWidth="1"/>
    <col min="274" max="279" width="9.28515625" style="78" customWidth="1"/>
    <col min="280" max="285" width="0" style="78" hidden="1" customWidth="1"/>
    <col min="286" max="286" width="8" style="78"/>
    <col min="287" max="287" width="9.140625" style="78" bestFit="1" customWidth="1"/>
    <col min="288" max="517" width="8" style="78"/>
    <col min="518" max="518" width="6" style="78" customWidth="1"/>
    <col min="519" max="519" width="30.140625" style="78" customWidth="1"/>
    <col min="520" max="520" width="13.42578125" style="78" customWidth="1"/>
    <col min="521" max="521" width="10.42578125" style="78" customWidth="1"/>
    <col min="522" max="522" width="10.140625" style="78" customWidth="1"/>
    <col min="523" max="525" width="9.28515625" style="78" customWidth="1"/>
    <col min="526" max="526" width="9" style="78" customWidth="1"/>
    <col min="527" max="527" width="9.140625" style="78" customWidth="1"/>
    <col min="528" max="528" width="10.5703125" style="78" customWidth="1"/>
    <col min="529" max="529" width="10.140625" style="78" customWidth="1"/>
    <col min="530" max="535" width="9.28515625" style="78" customWidth="1"/>
    <col min="536" max="541" width="0" style="78" hidden="1" customWidth="1"/>
    <col min="542" max="542" width="8" style="78"/>
    <col min="543" max="543" width="9.140625" style="78" bestFit="1" customWidth="1"/>
    <col min="544" max="773" width="8" style="78"/>
    <col min="774" max="774" width="6" style="78" customWidth="1"/>
    <col min="775" max="775" width="30.140625" style="78" customWidth="1"/>
    <col min="776" max="776" width="13.42578125" style="78" customWidth="1"/>
    <col min="777" max="777" width="10.42578125" style="78" customWidth="1"/>
    <col min="778" max="778" width="10.140625" style="78" customWidth="1"/>
    <col min="779" max="781" width="9.28515625" style="78" customWidth="1"/>
    <col min="782" max="782" width="9" style="78" customWidth="1"/>
    <col min="783" max="783" width="9.140625" style="78" customWidth="1"/>
    <col min="784" max="784" width="10.5703125" style="78" customWidth="1"/>
    <col min="785" max="785" width="10.140625" style="78" customWidth="1"/>
    <col min="786" max="791" width="9.28515625" style="78" customWidth="1"/>
    <col min="792" max="797" width="0" style="78" hidden="1" customWidth="1"/>
    <col min="798" max="798" width="8" style="78"/>
    <col min="799" max="799" width="9.140625" style="78" bestFit="1" customWidth="1"/>
    <col min="800" max="1029" width="8" style="78"/>
    <col min="1030" max="1030" width="6" style="78" customWidth="1"/>
    <col min="1031" max="1031" width="30.140625" style="78" customWidth="1"/>
    <col min="1032" max="1032" width="13.42578125" style="78" customWidth="1"/>
    <col min="1033" max="1033" width="10.42578125" style="78" customWidth="1"/>
    <col min="1034" max="1034" width="10.140625" style="78" customWidth="1"/>
    <col min="1035" max="1037" width="9.28515625" style="78" customWidth="1"/>
    <col min="1038" max="1038" width="9" style="78" customWidth="1"/>
    <col min="1039" max="1039" width="9.140625" style="78" customWidth="1"/>
    <col min="1040" max="1040" width="10.5703125" style="78" customWidth="1"/>
    <col min="1041" max="1041" width="10.140625" style="78" customWidth="1"/>
    <col min="1042" max="1047" width="9.28515625" style="78" customWidth="1"/>
    <col min="1048" max="1053" width="0" style="78" hidden="1" customWidth="1"/>
    <col min="1054" max="1054" width="8" style="78"/>
    <col min="1055" max="1055" width="9.140625" style="78" bestFit="1" customWidth="1"/>
    <col min="1056" max="1285" width="8" style="78"/>
    <col min="1286" max="1286" width="6" style="78" customWidth="1"/>
    <col min="1287" max="1287" width="30.140625" style="78" customWidth="1"/>
    <col min="1288" max="1288" width="13.42578125" style="78" customWidth="1"/>
    <col min="1289" max="1289" width="10.42578125" style="78" customWidth="1"/>
    <col min="1290" max="1290" width="10.140625" style="78" customWidth="1"/>
    <col min="1291" max="1293" width="9.28515625" style="78" customWidth="1"/>
    <col min="1294" max="1294" width="9" style="78" customWidth="1"/>
    <col min="1295" max="1295" width="9.140625" style="78" customWidth="1"/>
    <col min="1296" max="1296" width="10.5703125" style="78" customWidth="1"/>
    <col min="1297" max="1297" width="10.140625" style="78" customWidth="1"/>
    <col min="1298" max="1303" width="9.28515625" style="78" customWidth="1"/>
    <col min="1304" max="1309" width="0" style="78" hidden="1" customWidth="1"/>
    <col min="1310" max="1310" width="8" style="78"/>
    <col min="1311" max="1311" width="9.140625" style="78" bestFit="1" customWidth="1"/>
    <col min="1312" max="1541" width="8" style="78"/>
    <col min="1542" max="1542" width="6" style="78" customWidth="1"/>
    <col min="1543" max="1543" width="30.140625" style="78" customWidth="1"/>
    <col min="1544" max="1544" width="13.42578125" style="78" customWidth="1"/>
    <col min="1545" max="1545" width="10.42578125" style="78" customWidth="1"/>
    <col min="1546" max="1546" width="10.140625" style="78" customWidth="1"/>
    <col min="1547" max="1549" width="9.28515625" style="78" customWidth="1"/>
    <col min="1550" max="1550" width="9" style="78" customWidth="1"/>
    <col min="1551" max="1551" width="9.140625" style="78" customWidth="1"/>
    <col min="1552" max="1552" width="10.5703125" style="78" customWidth="1"/>
    <col min="1553" max="1553" width="10.140625" style="78" customWidth="1"/>
    <col min="1554" max="1559" width="9.28515625" style="78" customWidth="1"/>
    <col min="1560" max="1565" width="0" style="78" hidden="1" customWidth="1"/>
    <col min="1566" max="1566" width="8" style="78"/>
    <col min="1567" max="1567" width="9.140625" style="78" bestFit="1" customWidth="1"/>
    <col min="1568" max="1797" width="8" style="78"/>
    <col min="1798" max="1798" width="6" style="78" customWidth="1"/>
    <col min="1799" max="1799" width="30.140625" style="78" customWidth="1"/>
    <col min="1800" max="1800" width="13.42578125" style="78" customWidth="1"/>
    <col min="1801" max="1801" width="10.42578125" style="78" customWidth="1"/>
    <col min="1802" max="1802" width="10.140625" style="78" customWidth="1"/>
    <col min="1803" max="1805" width="9.28515625" style="78" customWidth="1"/>
    <col min="1806" max="1806" width="9" style="78" customWidth="1"/>
    <col min="1807" max="1807" width="9.140625" style="78" customWidth="1"/>
    <col min="1808" max="1808" width="10.5703125" style="78" customWidth="1"/>
    <col min="1809" max="1809" width="10.140625" style="78" customWidth="1"/>
    <col min="1810" max="1815" width="9.28515625" style="78" customWidth="1"/>
    <col min="1816" max="1821" width="0" style="78" hidden="1" customWidth="1"/>
    <col min="1822" max="1822" width="8" style="78"/>
    <col min="1823" max="1823" width="9.140625" style="78" bestFit="1" customWidth="1"/>
    <col min="1824" max="2053" width="8" style="78"/>
    <col min="2054" max="2054" width="6" style="78" customWidth="1"/>
    <col min="2055" max="2055" width="30.140625" style="78" customWidth="1"/>
    <col min="2056" max="2056" width="13.42578125" style="78" customWidth="1"/>
    <col min="2057" max="2057" width="10.42578125" style="78" customWidth="1"/>
    <col min="2058" max="2058" width="10.140625" style="78" customWidth="1"/>
    <col min="2059" max="2061" width="9.28515625" style="78" customWidth="1"/>
    <col min="2062" max="2062" width="9" style="78" customWidth="1"/>
    <col min="2063" max="2063" width="9.140625" style="78" customWidth="1"/>
    <col min="2064" max="2064" width="10.5703125" style="78" customWidth="1"/>
    <col min="2065" max="2065" width="10.140625" style="78" customWidth="1"/>
    <col min="2066" max="2071" width="9.28515625" style="78" customWidth="1"/>
    <col min="2072" max="2077" width="0" style="78" hidden="1" customWidth="1"/>
    <col min="2078" max="2078" width="8" style="78"/>
    <col min="2079" max="2079" width="9.140625" style="78" bestFit="1" customWidth="1"/>
    <col min="2080" max="2309" width="8" style="78"/>
    <col min="2310" max="2310" width="6" style="78" customWidth="1"/>
    <col min="2311" max="2311" width="30.140625" style="78" customWidth="1"/>
    <col min="2312" max="2312" width="13.42578125" style="78" customWidth="1"/>
    <col min="2313" max="2313" width="10.42578125" style="78" customWidth="1"/>
    <col min="2314" max="2314" width="10.140625" style="78" customWidth="1"/>
    <col min="2315" max="2317" width="9.28515625" style="78" customWidth="1"/>
    <col min="2318" max="2318" width="9" style="78" customWidth="1"/>
    <col min="2319" max="2319" width="9.140625" style="78" customWidth="1"/>
    <col min="2320" max="2320" width="10.5703125" style="78" customWidth="1"/>
    <col min="2321" max="2321" width="10.140625" style="78" customWidth="1"/>
    <col min="2322" max="2327" width="9.28515625" style="78" customWidth="1"/>
    <col min="2328" max="2333" width="0" style="78" hidden="1" customWidth="1"/>
    <col min="2334" max="2334" width="8" style="78"/>
    <col min="2335" max="2335" width="9.140625" style="78" bestFit="1" customWidth="1"/>
    <col min="2336" max="2565" width="8" style="78"/>
    <col min="2566" max="2566" width="6" style="78" customWidth="1"/>
    <col min="2567" max="2567" width="30.140625" style="78" customWidth="1"/>
    <col min="2568" max="2568" width="13.42578125" style="78" customWidth="1"/>
    <col min="2569" max="2569" width="10.42578125" style="78" customWidth="1"/>
    <col min="2570" max="2570" width="10.140625" style="78" customWidth="1"/>
    <col min="2571" max="2573" width="9.28515625" style="78" customWidth="1"/>
    <col min="2574" max="2574" width="9" style="78" customWidth="1"/>
    <col min="2575" max="2575" width="9.140625" style="78" customWidth="1"/>
    <col min="2576" max="2576" width="10.5703125" style="78" customWidth="1"/>
    <col min="2577" max="2577" width="10.140625" style="78" customWidth="1"/>
    <col min="2578" max="2583" width="9.28515625" style="78" customWidth="1"/>
    <col min="2584" max="2589" width="0" style="78" hidden="1" customWidth="1"/>
    <col min="2590" max="2590" width="8" style="78"/>
    <col min="2591" max="2591" width="9.140625" style="78" bestFit="1" customWidth="1"/>
    <col min="2592" max="2821" width="8" style="78"/>
    <col min="2822" max="2822" width="6" style="78" customWidth="1"/>
    <col min="2823" max="2823" width="30.140625" style="78" customWidth="1"/>
    <col min="2824" max="2824" width="13.42578125" style="78" customWidth="1"/>
    <col min="2825" max="2825" width="10.42578125" style="78" customWidth="1"/>
    <col min="2826" max="2826" width="10.140625" style="78" customWidth="1"/>
    <col min="2827" max="2829" width="9.28515625" style="78" customWidth="1"/>
    <col min="2830" max="2830" width="9" style="78" customWidth="1"/>
    <col min="2831" max="2831" width="9.140625" style="78" customWidth="1"/>
    <col min="2832" max="2832" width="10.5703125" style="78" customWidth="1"/>
    <col min="2833" max="2833" width="10.140625" style="78" customWidth="1"/>
    <col min="2834" max="2839" width="9.28515625" style="78" customWidth="1"/>
    <col min="2840" max="2845" width="0" style="78" hidden="1" customWidth="1"/>
    <col min="2846" max="2846" width="8" style="78"/>
    <col min="2847" max="2847" width="9.140625" style="78" bestFit="1" customWidth="1"/>
    <col min="2848" max="3077" width="8" style="78"/>
    <col min="3078" max="3078" width="6" style="78" customWidth="1"/>
    <col min="3079" max="3079" width="30.140625" style="78" customWidth="1"/>
    <col min="3080" max="3080" width="13.42578125" style="78" customWidth="1"/>
    <col min="3081" max="3081" width="10.42578125" style="78" customWidth="1"/>
    <col min="3082" max="3082" width="10.140625" style="78" customWidth="1"/>
    <col min="3083" max="3085" width="9.28515625" style="78" customWidth="1"/>
    <col min="3086" max="3086" width="9" style="78" customWidth="1"/>
    <col min="3087" max="3087" width="9.140625" style="78" customWidth="1"/>
    <col min="3088" max="3088" width="10.5703125" style="78" customWidth="1"/>
    <col min="3089" max="3089" width="10.140625" style="78" customWidth="1"/>
    <col min="3090" max="3095" width="9.28515625" style="78" customWidth="1"/>
    <col min="3096" max="3101" width="0" style="78" hidden="1" customWidth="1"/>
    <col min="3102" max="3102" width="8" style="78"/>
    <col min="3103" max="3103" width="9.140625" style="78" bestFit="1" customWidth="1"/>
    <col min="3104" max="3333" width="8" style="78"/>
    <col min="3334" max="3334" width="6" style="78" customWidth="1"/>
    <col min="3335" max="3335" width="30.140625" style="78" customWidth="1"/>
    <col min="3336" max="3336" width="13.42578125" style="78" customWidth="1"/>
    <col min="3337" max="3337" width="10.42578125" style="78" customWidth="1"/>
    <col min="3338" max="3338" width="10.140625" style="78" customWidth="1"/>
    <col min="3339" max="3341" width="9.28515625" style="78" customWidth="1"/>
    <col min="3342" max="3342" width="9" style="78" customWidth="1"/>
    <col min="3343" max="3343" width="9.140625" style="78" customWidth="1"/>
    <col min="3344" max="3344" width="10.5703125" style="78" customWidth="1"/>
    <col min="3345" max="3345" width="10.140625" style="78" customWidth="1"/>
    <col min="3346" max="3351" width="9.28515625" style="78" customWidth="1"/>
    <col min="3352" max="3357" width="0" style="78" hidden="1" customWidth="1"/>
    <col min="3358" max="3358" width="8" style="78"/>
    <col min="3359" max="3359" width="9.140625" style="78" bestFit="1" customWidth="1"/>
    <col min="3360" max="3589" width="8" style="78"/>
    <col min="3590" max="3590" width="6" style="78" customWidth="1"/>
    <col min="3591" max="3591" width="30.140625" style="78" customWidth="1"/>
    <col min="3592" max="3592" width="13.42578125" style="78" customWidth="1"/>
    <col min="3593" max="3593" width="10.42578125" style="78" customWidth="1"/>
    <col min="3594" max="3594" width="10.140625" style="78" customWidth="1"/>
    <col min="3595" max="3597" width="9.28515625" style="78" customWidth="1"/>
    <col min="3598" max="3598" width="9" style="78" customWidth="1"/>
    <col min="3599" max="3599" width="9.140625" style="78" customWidth="1"/>
    <col min="3600" max="3600" width="10.5703125" style="78" customWidth="1"/>
    <col min="3601" max="3601" width="10.140625" style="78" customWidth="1"/>
    <col min="3602" max="3607" width="9.28515625" style="78" customWidth="1"/>
    <col min="3608" max="3613" width="0" style="78" hidden="1" customWidth="1"/>
    <col min="3614" max="3614" width="8" style="78"/>
    <col min="3615" max="3615" width="9.140625" style="78" bestFit="1" customWidth="1"/>
    <col min="3616" max="3845" width="8" style="78"/>
    <col min="3846" max="3846" width="6" style="78" customWidth="1"/>
    <col min="3847" max="3847" width="30.140625" style="78" customWidth="1"/>
    <col min="3848" max="3848" width="13.42578125" style="78" customWidth="1"/>
    <col min="3849" max="3849" width="10.42578125" style="78" customWidth="1"/>
    <col min="3850" max="3850" width="10.140625" style="78" customWidth="1"/>
    <col min="3851" max="3853" width="9.28515625" style="78" customWidth="1"/>
    <col min="3854" max="3854" width="9" style="78" customWidth="1"/>
    <col min="3855" max="3855" width="9.140625" style="78" customWidth="1"/>
    <col min="3856" max="3856" width="10.5703125" style="78" customWidth="1"/>
    <col min="3857" max="3857" width="10.140625" style="78" customWidth="1"/>
    <col min="3858" max="3863" width="9.28515625" style="78" customWidth="1"/>
    <col min="3864" max="3869" width="0" style="78" hidden="1" customWidth="1"/>
    <col min="3870" max="3870" width="8" style="78"/>
    <col min="3871" max="3871" width="9.140625" style="78" bestFit="1" customWidth="1"/>
    <col min="3872" max="4101" width="8" style="78"/>
    <col min="4102" max="4102" width="6" style="78" customWidth="1"/>
    <col min="4103" max="4103" width="30.140625" style="78" customWidth="1"/>
    <col min="4104" max="4104" width="13.42578125" style="78" customWidth="1"/>
    <col min="4105" max="4105" width="10.42578125" style="78" customWidth="1"/>
    <col min="4106" max="4106" width="10.140625" style="78" customWidth="1"/>
    <col min="4107" max="4109" width="9.28515625" style="78" customWidth="1"/>
    <col min="4110" max="4110" width="9" style="78" customWidth="1"/>
    <col min="4111" max="4111" width="9.140625" style="78" customWidth="1"/>
    <col min="4112" max="4112" width="10.5703125" style="78" customWidth="1"/>
    <col min="4113" max="4113" width="10.140625" style="78" customWidth="1"/>
    <col min="4114" max="4119" width="9.28515625" style="78" customWidth="1"/>
    <col min="4120" max="4125" width="0" style="78" hidden="1" customWidth="1"/>
    <col min="4126" max="4126" width="8" style="78"/>
    <col min="4127" max="4127" width="9.140625" style="78" bestFit="1" customWidth="1"/>
    <col min="4128" max="4357" width="8" style="78"/>
    <col min="4358" max="4358" width="6" style="78" customWidth="1"/>
    <col min="4359" max="4359" width="30.140625" style="78" customWidth="1"/>
    <col min="4360" max="4360" width="13.42578125" style="78" customWidth="1"/>
    <col min="4361" max="4361" width="10.42578125" style="78" customWidth="1"/>
    <col min="4362" max="4362" width="10.140625" style="78" customWidth="1"/>
    <col min="4363" max="4365" width="9.28515625" style="78" customWidth="1"/>
    <col min="4366" max="4366" width="9" style="78" customWidth="1"/>
    <col min="4367" max="4367" width="9.140625" style="78" customWidth="1"/>
    <col min="4368" max="4368" width="10.5703125" style="78" customWidth="1"/>
    <col min="4369" max="4369" width="10.140625" style="78" customWidth="1"/>
    <col min="4370" max="4375" width="9.28515625" style="78" customWidth="1"/>
    <col min="4376" max="4381" width="0" style="78" hidden="1" customWidth="1"/>
    <col min="4382" max="4382" width="8" style="78"/>
    <col min="4383" max="4383" width="9.140625" style="78" bestFit="1" customWidth="1"/>
    <col min="4384" max="4613" width="8" style="78"/>
    <col min="4614" max="4614" width="6" style="78" customWidth="1"/>
    <col min="4615" max="4615" width="30.140625" style="78" customWidth="1"/>
    <col min="4616" max="4616" width="13.42578125" style="78" customWidth="1"/>
    <col min="4617" max="4617" width="10.42578125" style="78" customWidth="1"/>
    <col min="4618" max="4618" width="10.140625" style="78" customWidth="1"/>
    <col min="4619" max="4621" width="9.28515625" style="78" customWidth="1"/>
    <col min="4622" max="4622" width="9" style="78" customWidth="1"/>
    <col min="4623" max="4623" width="9.140625" style="78" customWidth="1"/>
    <col min="4624" max="4624" width="10.5703125" style="78" customWidth="1"/>
    <col min="4625" max="4625" width="10.140625" style="78" customWidth="1"/>
    <col min="4626" max="4631" width="9.28515625" style="78" customWidth="1"/>
    <col min="4632" max="4637" width="0" style="78" hidden="1" customWidth="1"/>
    <col min="4638" max="4638" width="8" style="78"/>
    <col min="4639" max="4639" width="9.140625" style="78" bestFit="1" customWidth="1"/>
    <col min="4640" max="4869" width="8" style="78"/>
    <col min="4870" max="4870" width="6" style="78" customWidth="1"/>
    <col min="4871" max="4871" width="30.140625" style="78" customWidth="1"/>
    <col min="4872" max="4872" width="13.42578125" style="78" customWidth="1"/>
    <col min="4873" max="4873" width="10.42578125" style="78" customWidth="1"/>
    <col min="4874" max="4874" width="10.140625" style="78" customWidth="1"/>
    <col min="4875" max="4877" width="9.28515625" style="78" customWidth="1"/>
    <col min="4878" max="4878" width="9" style="78" customWidth="1"/>
    <col min="4879" max="4879" width="9.140625" style="78" customWidth="1"/>
    <col min="4880" max="4880" width="10.5703125" style="78" customWidth="1"/>
    <col min="4881" max="4881" width="10.140625" style="78" customWidth="1"/>
    <col min="4882" max="4887" width="9.28515625" style="78" customWidth="1"/>
    <col min="4888" max="4893" width="0" style="78" hidden="1" customWidth="1"/>
    <col min="4894" max="4894" width="8" style="78"/>
    <col min="4895" max="4895" width="9.140625" style="78" bestFit="1" customWidth="1"/>
    <col min="4896" max="5125" width="8" style="78"/>
    <col min="5126" max="5126" width="6" style="78" customWidth="1"/>
    <col min="5127" max="5127" width="30.140625" style="78" customWidth="1"/>
    <col min="5128" max="5128" width="13.42578125" style="78" customWidth="1"/>
    <col min="5129" max="5129" width="10.42578125" style="78" customWidth="1"/>
    <col min="5130" max="5130" width="10.140625" style="78" customWidth="1"/>
    <col min="5131" max="5133" width="9.28515625" style="78" customWidth="1"/>
    <col min="5134" max="5134" width="9" style="78" customWidth="1"/>
    <col min="5135" max="5135" width="9.140625" style="78" customWidth="1"/>
    <col min="5136" max="5136" width="10.5703125" style="78" customWidth="1"/>
    <col min="5137" max="5137" width="10.140625" style="78" customWidth="1"/>
    <col min="5138" max="5143" width="9.28515625" style="78" customWidth="1"/>
    <col min="5144" max="5149" width="0" style="78" hidden="1" customWidth="1"/>
    <col min="5150" max="5150" width="8" style="78"/>
    <col min="5151" max="5151" width="9.140625" style="78" bestFit="1" customWidth="1"/>
    <col min="5152" max="5381" width="8" style="78"/>
    <col min="5382" max="5382" width="6" style="78" customWidth="1"/>
    <col min="5383" max="5383" width="30.140625" style="78" customWidth="1"/>
    <col min="5384" max="5384" width="13.42578125" style="78" customWidth="1"/>
    <col min="5385" max="5385" width="10.42578125" style="78" customWidth="1"/>
    <col min="5386" max="5386" width="10.140625" style="78" customWidth="1"/>
    <col min="5387" max="5389" width="9.28515625" style="78" customWidth="1"/>
    <col min="5390" max="5390" width="9" style="78" customWidth="1"/>
    <col min="5391" max="5391" width="9.140625" style="78" customWidth="1"/>
    <col min="5392" max="5392" width="10.5703125" style="78" customWidth="1"/>
    <col min="5393" max="5393" width="10.140625" style="78" customWidth="1"/>
    <col min="5394" max="5399" width="9.28515625" style="78" customWidth="1"/>
    <col min="5400" max="5405" width="0" style="78" hidden="1" customWidth="1"/>
    <col min="5406" max="5406" width="8" style="78"/>
    <col min="5407" max="5407" width="9.140625" style="78" bestFit="1" customWidth="1"/>
    <col min="5408" max="5637" width="8" style="78"/>
    <col min="5638" max="5638" width="6" style="78" customWidth="1"/>
    <col min="5639" max="5639" width="30.140625" style="78" customWidth="1"/>
    <col min="5640" max="5640" width="13.42578125" style="78" customWidth="1"/>
    <col min="5641" max="5641" width="10.42578125" style="78" customWidth="1"/>
    <col min="5642" max="5642" width="10.140625" style="78" customWidth="1"/>
    <col min="5643" max="5645" width="9.28515625" style="78" customWidth="1"/>
    <col min="5646" max="5646" width="9" style="78" customWidth="1"/>
    <col min="5647" max="5647" width="9.140625" style="78" customWidth="1"/>
    <col min="5648" max="5648" width="10.5703125" style="78" customWidth="1"/>
    <col min="5649" max="5649" width="10.140625" style="78" customWidth="1"/>
    <col min="5650" max="5655" width="9.28515625" style="78" customWidth="1"/>
    <col min="5656" max="5661" width="0" style="78" hidden="1" customWidth="1"/>
    <col min="5662" max="5662" width="8" style="78"/>
    <col min="5663" max="5663" width="9.140625" style="78" bestFit="1" customWidth="1"/>
    <col min="5664" max="5893" width="8" style="78"/>
    <col min="5894" max="5894" width="6" style="78" customWidth="1"/>
    <col min="5895" max="5895" width="30.140625" style="78" customWidth="1"/>
    <col min="5896" max="5896" width="13.42578125" style="78" customWidth="1"/>
    <col min="5897" max="5897" width="10.42578125" style="78" customWidth="1"/>
    <col min="5898" max="5898" width="10.140625" style="78" customWidth="1"/>
    <col min="5899" max="5901" width="9.28515625" style="78" customWidth="1"/>
    <col min="5902" max="5902" width="9" style="78" customWidth="1"/>
    <col min="5903" max="5903" width="9.140625" style="78" customWidth="1"/>
    <col min="5904" max="5904" width="10.5703125" style="78" customWidth="1"/>
    <col min="5905" max="5905" width="10.140625" style="78" customWidth="1"/>
    <col min="5906" max="5911" width="9.28515625" style="78" customWidth="1"/>
    <col min="5912" max="5917" width="0" style="78" hidden="1" customWidth="1"/>
    <col min="5918" max="5918" width="8" style="78"/>
    <col min="5919" max="5919" width="9.140625" style="78" bestFit="1" customWidth="1"/>
    <col min="5920" max="6149" width="8" style="78"/>
    <col min="6150" max="6150" width="6" style="78" customWidth="1"/>
    <col min="6151" max="6151" width="30.140625" style="78" customWidth="1"/>
    <col min="6152" max="6152" width="13.42578125" style="78" customWidth="1"/>
    <col min="6153" max="6153" width="10.42578125" style="78" customWidth="1"/>
    <col min="6154" max="6154" width="10.140625" style="78" customWidth="1"/>
    <col min="6155" max="6157" width="9.28515625" style="78" customWidth="1"/>
    <col min="6158" max="6158" width="9" style="78" customWidth="1"/>
    <col min="6159" max="6159" width="9.140625" style="78" customWidth="1"/>
    <col min="6160" max="6160" width="10.5703125" style="78" customWidth="1"/>
    <col min="6161" max="6161" width="10.140625" style="78" customWidth="1"/>
    <col min="6162" max="6167" width="9.28515625" style="78" customWidth="1"/>
    <col min="6168" max="6173" width="0" style="78" hidden="1" customWidth="1"/>
    <col min="6174" max="6174" width="8" style="78"/>
    <col min="6175" max="6175" width="9.140625" style="78" bestFit="1" customWidth="1"/>
    <col min="6176" max="6405" width="8" style="78"/>
    <col min="6406" max="6406" width="6" style="78" customWidth="1"/>
    <col min="6407" max="6407" width="30.140625" style="78" customWidth="1"/>
    <col min="6408" max="6408" width="13.42578125" style="78" customWidth="1"/>
    <col min="6409" max="6409" width="10.42578125" style="78" customWidth="1"/>
    <col min="6410" max="6410" width="10.140625" style="78" customWidth="1"/>
    <col min="6411" max="6413" width="9.28515625" style="78" customWidth="1"/>
    <col min="6414" max="6414" width="9" style="78" customWidth="1"/>
    <col min="6415" max="6415" width="9.140625" style="78" customWidth="1"/>
    <col min="6416" max="6416" width="10.5703125" style="78" customWidth="1"/>
    <col min="6417" max="6417" width="10.140625" style="78" customWidth="1"/>
    <col min="6418" max="6423" width="9.28515625" style="78" customWidth="1"/>
    <col min="6424" max="6429" width="0" style="78" hidden="1" customWidth="1"/>
    <col min="6430" max="6430" width="8" style="78"/>
    <col min="6431" max="6431" width="9.140625" style="78" bestFit="1" customWidth="1"/>
    <col min="6432" max="6661" width="8" style="78"/>
    <col min="6662" max="6662" width="6" style="78" customWidth="1"/>
    <col min="6663" max="6663" width="30.140625" style="78" customWidth="1"/>
    <col min="6664" max="6664" width="13.42578125" style="78" customWidth="1"/>
    <col min="6665" max="6665" width="10.42578125" style="78" customWidth="1"/>
    <col min="6666" max="6666" width="10.140625" style="78" customWidth="1"/>
    <col min="6667" max="6669" width="9.28515625" style="78" customWidth="1"/>
    <col min="6670" max="6670" width="9" style="78" customWidth="1"/>
    <col min="6671" max="6671" width="9.140625" style="78" customWidth="1"/>
    <col min="6672" max="6672" width="10.5703125" style="78" customWidth="1"/>
    <col min="6673" max="6673" width="10.140625" style="78" customWidth="1"/>
    <col min="6674" max="6679" width="9.28515625" style="78" customWidth="1"/>
    <col min="6680" max="6685" width="0" style="78" hidden="1" customWidth="1"/>
    <col min="6686" max="6686" width="8" style="78"/>
    <col min="6687" max="6687" width="9.140625" style="78" bestFit="1" customWidth="1"/>
    <col min="6688" max="6917" width="8" style="78"/>
    <col min="6918" max="6918" width="6" style="78" customWidth="1"/>
    <col min="6919" max="6919" width="30.140625" style="78" customWidth="1"/>
    <col min="6920" max="6920" width="13.42578125" style="78" customWidth="1"/>
    <col min="6921" max="6921" width="10.42578125" style="78" customWidth="1"/>
    <col min="6922" max="6922" width="10.140625" style="78" customWidth="1"/>
    <col min="6923" max="6925" width="9.28515625" style="78" customWidth="1"/>
    <col min="6926" max="6926" width="9" style="78" customWidth="1"/>
    <col min="6927" max="6927" width="9.140625" style="78" customWidth="1"/>
    <col min="6928" max="6928" width="10.5703125" style="78" customWidth="1"/>
    <col min="6929" max="6929" width="10.140625" style="78" customWidth="1"/>
    <col min="6930" max="6935" width="9.28515625" style="78" customWidth="1"/>
    <col min="6936" max="6941" width="0" style="78" hidden="1" customWidth="1"/>
    <col min="6942" max="6942" width="8" style="78"/>
    <col min="6943" max="6943" width="9.140625" style="78" bestFit="1" customWidth="1"/>
    <col min="6944" max="7173" width="8" style="78"/>
    <col min="7174" max="7174" width="6" style="78" customWidth="1"/>
    <col min="7175" max="7175" width="30.140625" style="78" customWidth="1"/>
    <col min="7176" max="7176" width="13.42578125" style="78" customWidth="1"/>
    <col min="7177" max="7177" width="10.42578125" style="78" customWidth="1"/>
    <col min="7178" max="7178" width="10.140625" style="78" customWidth="1"/>
    <col min="7179" max="7181" width="9.28515625" style="78" customWidth="1"/>
    <col min="7182" max="7182" width="9" style="78" customWidth="1"/>
    <col min="7183" max="7183" width="9.140625" style="78" customWidth="1"/>
    <col min="7184" max="7184" width="10.5703125" style="78" customWidth="1"/>
    <col min="7185" max="7185" width="10.140625" style="78" customWidth="1"/>
    <col min="7186" max="7191" width="9.28515625" style="78" customWidth="1"/>
    <col min="7192" max="7197" width="0" style="78" hidden="1" customWidth="1"/>
    <col min="7198" max="7198" width="8" style="78"/>
    <col min="7199" max="7199" width="9.140625" style="78" bestFit="1" customWidth="1"/>
    <col min="7200" max="7429" width="8" style="78"/>
    <col min="7430" max="7430" width="6" style="78" customWidth="1"/>
    <col min="7431" max="7431" width="30.140625" style="78" customWidth="1"/>
    <col min="7432" max="7432" width="13.42578125" style="78" customWidth="1"/>
    <col min="7433" max="7433" width="10.42578125" style="78" customWidth="1"/>
    <col min="7434" max="7434" width="10.140625" style="78" customWidth="1"/>
    <col min="7435" max="7437" width="9.28515625" style="78" customWidth="1"/>
    <col min="7438" max="7438" width="9" style="78" customWidth="1"/>
    <col min="7439" max="7439" width="9.140625" style="78" customWidth="1"/>
    <col min="7440" max="7440" width="10.5703125" style="78" customWidth="1"/>
    <col min="7441" max="7441" width="10.140625" style="78" customWidth="1"/>
    <col min="7442" max="7447" width="9.28515625" style="78" customWidth="1"/>
    <col min="7448" max="7453" width="0" style="78" hidden="1" customWidth="1"/>
    <col min="7454" max="7454" width="8" style="78"/>
    <col min="7455" max="7455" width="9.140625" style="78" bestFit="1" customWidth="1"/>
    <col min="7456" max="7685" width="8" style="78"/>
    <col min="7686" max="7686" width="6" style="78" customWidth="1"/>
    <col min="7687" max="7687" width="30.140625" style="78" customWidth="1"/>
    <col min="7688" max="7688" width="13.42578125" style="78" customWidth="1"/>
    <col min="7689" max="7689" width="10.42578125" style="78" customWidth="1"/>
    <col min="7690" max="7690" width="10.140625" style="78" customWidth="1"/>
    <col min="7691" max="7693" width="9.28515625" style="78" customWidth="1"/>
    <col min="7694" max="7694" width="9" style="78" customWidth="1"/>
    <col min="7695" max="7695" width="9.140625" style="78" customWidth="1"/>
    <col min="7696" max="7696" width="10.5703125" style="78" customWidth="1"/>
    <col min="7697" max="7697" width="10.140625" style="78" customWidth="1"/>
    <col min="7698" max="7703" width="9.28515625" style="78" customWidth="1"/>
    <col min="7704" max="7709" width="0" style="78" hidden="1" customWidth="1"/>
    <col min="7710" max="7710" width="8" style="78"/>
    <col min="7711" max="7711" width="9.140625" style="78" bestFit="1" customWidth="1"/>
    <col min="7712" max="7941" width="8" style="78"/>
    <col min="7942" max="7942" width="6" style="78" customWidth="1"/>
    <col min="7943" max="7943" width="30.140625" style="78" customWidth="1"/>
    <col min="7944" max="7944" width="13.42578125" style="78" customWidth="1"/>
    <col min="7945" max="7945" width="10.42578125" style="78" customWidth="1"/>
    <col min="7946" max="7946" width="10.140625" style="78" customWidth="1"/>
    <col min="7947" max="7949" width="9.28515625" style="78" customWidth="1"/>
    <col min="7950" max="7950" width="9" style="78" customWidth="1"/>
    <col min="7951" max="7951" width="9.140625" style="78" customWidth="1"/>
    <col min="7952" max="7952" width="10.5703125" style="78" customWidth="1"/>
    <col min="7953" max="7953" width="10.140625" style="78" customWidth="1"/>
    <col min="7954" max="7959" width="9.28515625" style="78" customWidth="1"/>
    <col min="7960" max="7965" width="0" style="78" hidden="1" customWidth="1"/>
    <col min="7966" max="7966" width="8" style="78"/>
    <col min="7967" max="7967" width="9.140625" style="78" bestFit="1" customWidth="1"/>
    <col min="7968" max="8197" width="8" style="78"/>
    <col min="8198" max="8198" width="6" style="78" customWidth="1"/>
    <col min="8199" max="8199" width="30.140625" style="78" customWidth="1"/>
    <col min="8200" max="8200" width="13.42578125" style="78" customWidth="1"/>
    <col min="8201" max="8201" width="10.42578125" style="78" customWidth="1"/>
    <col min="8202" max="8202" width="10.140625" style="78" customWidth="1"/>
    <col min="8203" max="8205" width="9.28515625" style="78" customWidth="1"/>
    <col min="8206" max="8206" width="9" style="78" customWidth="1"/>
    <col min="8207" max="8207" width="9.140625" style="78" customWidth="1"/>
    <col min="8208" max="8208" width="10.5703125" style="78" customWidth="1"/>
    <col min="8209" max="8209" width="10.140625" style="78" customWidth="1"/>
    <col min="8210" max="8215" width="9.28515625" style="78" customWidth="1"/>
    <col min="8216" max="8221" width="0" style="78" hidden="1" customWidth="1"/>
    <col min="8222" max="8222" width="8" style="78"/>
    <col min="8223" max="8223" width="9.140625" style="78" bestFit="1" customWidth="1"/>
    <col min="8224" max="8453" width="8" style="78"/>
    <col min="8454" max="8454" width="6" style="78" customWidth="1"/>
    <col min="8455" max="8455" width="30.140625" style="78" customWidth="1"/>
    <col min="8456" max="8456" width="13.42578125" style="78" customWidth="1"/>
    <col min="8457" max="8457" width="10.42578125" style="78" customWidth="1"/>
    <col min="8458" max="8458" width="10.140625" style="78" customWidth="1"/>
    <col min="8459" max="8461" width="9.28515625" style="78" customWidth="1"/>
    <col min="8462" max="8462" width="9" style="78" customWidth="1"/>
    <col min="8463" max="8463" width="9.140625" style="78" customWidth="1"/>
    <col min="8464" max="8464" width="10.5703125" style="78" customWidth="1"/>
    <col min="8465" max="8465" width="10.140625" style="78" customWidth="1"/>
    <col min="8466" max="8471" width="9.28515625" style="78" customWidth="1"/>
    <col min="8472" max="8477" width="0" style="78" hidden="1" customWidth="1"/>
    <col min="8478" max="8478" width="8" style="78"/>
    <col min="8479" max="8479" width="9.140625" style="78" bestFit="1" customWidth="1"/>
    <col min="8480" max="8709" width="8" style="78"/>
    <col min="8710" max="8710" width="6" style="78" customWidth="1"/>
    <col min="8711" max="8711" width="30.140625" style="78" customWidth="1"/>
    <col min="8712" max="8712" width="13.42578125" style="78" customWidth="1"/>
    <col min="8713" max="8713" width="10.42578125" style="78" customWidth="1"/>
    <col min="8714" max="8714" width="10.140625" style="78" customWidth="1"/>
    <col min="8715" max="8717" width="9.28515625" style="78" customWidth="1"/>
    <col min="8718" max="8718" width="9" style="78" customWidth="1"/>
    <col min="8719" max="8719" width="9.140625" style="78" customWidth="1"/>
    <col min="8720" max="8720" width="10.5703125" style="78" customWidth="1"/>
    <col min="8721" max="8721" width="10.140625" style="78" customWidth="1"/>
    <col min="8722" max="8727" width="9.28515625" style="78" customWidth="1"/>
    <col min="8728" max="8733" width="0" style="78" hidden="1" customWidth="1"/>
    <col min="8734" max="8734" width="8" style="78"/>
    <col min="8735" max="8735" width="9.140625" style="78" bestFit="1" customWidth="1"/>
    <col min="8736" max="8965" width="8" style="78"/>
    <col min="8966" max="8966" width="6" style="78" customWidth="1"/>
    <col min="8967" max="8967" width="30.140625" style="78" customWidth="1"/>
    <col min="8968" max="8968" width="13.42578125" style="78" customWidth="1"/>
    <col min="8969" max="8969" width="10.42578125" style="78" customWidth="1"/>
    <col min="8970" max="8970" width="10.140625" style="78" customWidth="1"/>
    <col min="8971" max="8973" width="9.28515625" style="78" customWidth="1"/>
    <col min="8974" max="8974" width="9" style="78" customWidth="1"/>
    <col min="8975" max="8975" width="9.140625" style="78" customWidth="1"/>
    <col min="8976" max="8976" width="10.5703125" style="78" customWidth="1"/>
    <col min="8977" max="8977" width="10.140625" style="78" customWidth="1"/>
    <col min="8978" max="8983" width="9.28515625" style="78" customWidth="1"/>
    <col min="8984" max="8989" width="0" style="78" hidden="1" customWidth="1"/>
    <col min="8990" max="8990" width="8" style="78"/>
    <col min="8991" max="8991" width="9.140625" style="78" bestFit="1" customWidth="1"/>
    <col min="8992" max="9221" width="8" style="78"/>
    <col min="9222" max="9222" width="6" style="78" customWidth="1"/>
    <col min="9223" max="9223" width="30.140625" style="78" customWidth="1"/>
    <col min="9224" max="9224" width="13.42578125" style="78" customWidth="1"/>
    <col min="9225" max="9225" width="10.42578125" style="78" customWidth="1"/>
    <col min="9226" max="9226" width="10.140625" style="78" customWidth="1"/>
    <col min="9227" max="9229" width="9.28515625" style="78" customWidth="1"/>
    <col min="9230" max="9230" width="9" style="78" customWidth="1"/>
    <col min="9231" max="9231" width="9.140625" style="78" customWidth="1"/>
    <col min="9232" max="9232" width="10.5703125" style="78" customWidth="1"/>
    <col min="9233" max="9233" width="10.140625" style="78" customWidth="1"/>
    <col min="9234" max="9239" width="9.28515625" style="78" customWidth="1"/>
    <col min="9240" max="9245" width="0" style="78" hidden="1" customWidth="1"/>
    <col min="9246" max="9246" width="8" style="78"/>
    <col min="9247" max="9247" width="9.140625" style="78" bestFit="1" customWidth="1"/>
    <col min="9248" max="9477" width="8" style="78"/>
    <col min="9478" max="9478" width="6" style="78" customWidth="1"/>
    <col min="9479" max="9479" width="30.140625" style="78" customWidth="1"/>
    <col min="9480" max="9480" width="13.42578125" style="78" customWidth="1"/>
    <col min="9481" max="9481" width="10.42578125" style="78" customWidth="1"/>
    <col min="9482" max="9482" width="10.140625" style="78" customWidth="1"/>
    <col min="9483" max="9485" width="9.28515625" style="78" customWidth="1"/>
    <col min="9486" max="9486" width="9" style="78" customWidth="1"/>
    <col min="9487" max="9487" width="9.140625" style="78" customWidth="1"/>
    <col min="9488" max="9488" width="10.5703125" style="78" customWidth="1"/>
    <col min="9489" max="9489" width="10.140625" style="78" customWidth="1"/>
    <col min="9490" max="9495" width="9.28515625" style="78" customWidth="1"/>
    <col min="9496" max="9501" width="0" style="78" hidden="1" customWidth="1"/>
    <col min="9502" max="9502" width="8" style="78"/>
    <col min="9503" max="9503" width="9.140625" style="78" bestFit="1" customWidth="1"/>
    <col min="9504" max="9733" width="8" style="78"/>
    <col min="9734" max="9734" width="6" style="78" customWidth="1"/>
    <col min="9735" max="9735" width="30.140625" style="78" customWidth="1"/>
    <col min="9736" max="9736" width="13.42578125" style="78" customWidth="1"/>
    <col min="9737" max="9737" width="10.42578125" style="78" customWidth="1"/>
    <col min="9738" max="9738" width="10.140625" style="78" customWidth="1"/>
    <col min="9739" max="9741" width="9.28515625" style="78" customWidth="1"/>
    <col min="9742" max="9742" width="9" style="78" customWidth="1"/>
    <col min="9743" max="9743" width="9.140625" style="78" customWidth="1"/>
    <col min="9744" max="9744" width="10.5703125" style="78" customWidth="1"/>
    <col min="9745" max="9745" width="10.140625" style="78" customWidth="1"/>
    <col min="9746" max="9751" width="9.28515625" style="78" customWidth="1"/>
    <col min="9752" max="9757" width="0" style="78" hidden="1" customWidth="1"/>
    <col min="9758" max="9758" width="8" style="78"/>
    <col min="9759" max="9759" width="9.140625" style="78" bestFit="1" customWidth="1"/>
    <col min="9760" max="9989" width="8" style="78"/>
    <col min="9990" max="9990" width="6" style="78" customWidth="1"/>
    <col min="9991" max="9991" width="30.140625" style="78" customWidth="1"/>
    <col min="9992" max="9992" width="13.42578125" style="78" customWidth="1"/>
    <col min="9993" max="9993" width="10.42578125" style="78" customWidth="1"/>
    <col min="9994" max="9994" width="10.140625" style="78" customWidth="1"/>
    <col min="9995" max="9997" width="9.28515625" style="78" customWidth="1"/>
    <col min="9998" max="9998" width="9" style="78" customWidth="1"/>
    <col min="9999" max="9999" width="9.140625" style="78" customWidth="1"/>
    <col min="10000" max="10000" width="10.5703125" style="78" customWidth="1"/>
    <col min="10001" max="10001" width="10.140625" style="78" customWidth="1"/>
    <col min="10002" max="10007" width="9.28515625" style="78" customWidth="1"/>
    <col min="10008" max="10013" width="0" style="78" hidden="1" customWidth="1"/>
    <col min="10014" max="10014" width="8" style="78"/>
    <col min="10015" max="10015" width="9.140625" style="78" bestFit="1" customWidth="1"/>
    <col min="10016" max="10245" width="8" style="78"/>
    <col min="10246" max="10246" width="6" style="78" customWidth="1"/>
    <col min="10247" max="10247" width="30.140625" style="78" customWidth="1"/>
    <col min="10248" max="10248" width="13.42578125" style="78" customWidth="1"/>
    <col min="10249" max="10249" width="10.42578125" style="78" customWidth="1"/>
    <col min="10250" max="10250" width="10.140625" style="78" customWidth="1"/>
    <col min="10251" max="10253" width="9.28515625" style="78" customWidth="1"/>
    <col min="10254" max="10254" width="9" style="78" customWidth="1"/>
    <col min="10255" max="10255" width="9.140625" style="78" customWidth="1"/>
    <col min="10256" max="10256" width="10.5703125" style="78" customWidth="1"/>
    <col min="10257" max="10257" width="10.140625" style="78" customWidth="1"/>
    <col min="10258" max="10263" width="9.28515625" style="78" customWidth="1"/>
    <col min="10264" max="10269" width="0" style="78" hidden="1" customWidth="1"/>
    <col min="10270" max="10270" width="8" style="78"/>
    <col min="10271" max="10271" width="9.140625" style="78" bestFit="1" customWidth="1"/>
    <col min="10272" max="10501" width="8" style="78"/>
    <col min="10502" max="10502" width="6" style="78" customWidth="1"/>
    <col min="10503" max="10503" width="30.140625" style="78" customWidth="1"/>
    <col min="10504" max="10504" width="13.42578125" style="78" customWidth="1"/>
    <col min="10505" max="10505" width="10.42578125" style="78" customWidth="1"/>
    <col min="10506" max="10506" width="10.140625" style="78" customWidth="1"/>
    <col min="10507" max="10509" width="9.28515625" style="78" customWidth="1"/>
    <col min="10510" max="10510" width="9" style="78" customWidth="1"/>
    <col min="10511" max="10511" width="9.140625" style="78" customWidth="1"/>
    <col min="10512" max="10512" width="10.5703125" style="78" customWidth="1"/>
    <col min="10513" max="10513" width="10.140625" style="78" customWidth="1"/>
    <col min="10514" max="10519" width="9.28515625" style="78" customWidth="1"/>
    <col min="10520" max="10525" width="0" style="78" hidden="1" customWidth="1"/>
    <col min="10526" max="10526" width="8" style="78"/>
    <col min="10527" max="10527" width="9.140625" style="78" bestFit="1" customWidth="1"/>
    <col min="10528" max="10757" width="8" style="78"/>
    <col min="10758" max="10758" width="6" style="78" customWidth="1"/>
    <col min="10759" max="10759" width="30.140625" style="78" customWidth="1"/>
    <col min="10760" max="10760" width="13.42578125" style="78" customWidth="1"/>
    <col min="10761" max="10761" width="10.42578125" style="78" customWidth="1"/>
    <col min="10762" max="10762" width="10.140625" style="78" customWidth="1"/>
    <col min="10763" max="10765" width="9.28515625" style="78" customWidth="1"/>
    <col min="10766" max="10766" width="9" style="78" customWidth="1"/>
    <col min="10767" max="10767" width="9.140625" style="78" customWidth="1"/>
    <col min="10768" max="10768" width="10.5703125" style="78" customWidth="1"/>
    <col min="10769" max="10769" width="10.140625" style="78" customWidth="1"/>
    <col min="10770" max="10775" width="9.28515625" style="78" customWidth="1"/>
    <col min="10776" max="10781" width="0" style="78" hidden="1" customWidth="1"/>
    <col min="10782" max="10782" width="8" style="78"/>
    <col min="10783" max="10783" width="9.140625" style="78" bestFit="1" customWidth="1"/>
    <col min="10784" max="11013" width="8" style="78"/>
    <col min="11014" max="11014" width="6" style="78" customWidth="1"/>
    <col min="11015" max="11015" width="30.140625" style="78" customWidth="1"/>
    <col min="11016" max="11016" width="13.42578125" style="78" customWidth="1"/>
    <col min="11017" max="11017" width="10.42578125" style="78" customWidth="1"/>
    <col min="11018" max="11018" width="10.140625" style="78" customWidth="1"/>
    <col min="11019" max="11021" width="9.28515625" style="78" customWidth="1"/>
    <col min="11022" max="11022" width="9" style="78" customWidth="1"/>
    <col min="11023" max="11023" width="9.140625" style="78" customWidth="1"/>
    <col min="11024" max="11024" width="10.5703125" style="78" customWidth="1"/>
    <col min="11025" max="11025" width="10.140625" style="78" customWidth="1"/>
    <col min="11026" max="11031" width="9.28515625" style="78" customWidth="1"/>
    <col min="11032" max="11037" width="0" style="78" hidden="1" customWidth="1"/>
    <col min="11038" max="11038" width="8" style="78"/>
    <col min="11039" max="11039" width="9.140625" style="78" bestFit="1" customWidth="1"/>
    <col min="11040" max="11269" width="8" style="78"/>
    <col min="11270" max="11270" width="6" style="78" customWidth="1"/>
    <col min="11271" max="11271" width="30.140625" style="78" customWidth="1"/>
    <col min="11272" max="11272" width="13.42578125" style="78" customWidth="1"/>
    <col min="11273" max="11273" width="10.42578125" style="78" customWidth="1"/>
    <col min="11274" max="11274" width="10.140625" style="78" customWidth="1"/>
    <col min="11275" max="11277" width="9.28515625" style="78" customWidth="1"/>
    <col min="11278" max="11278" width="9" style="78" customWidth="1"/>
    <col min="11279" max="11279" width="9.140625" style="78" customWidth="1"/>
    <col min="11280" max="11280" width="10.5703125" style="78" customWidth="1"/>
    <col min="11281" max="11281" width="10.140625" style="78" customWidth="1"/>
    <col min="11282" max="11287" width="9.28515625" style="78" customWidth="1"/>
    <col min="11288" max="11293" width="0" style="78" hidden="1" customWidth="1"/>
    <col min="11294" max="11294" width="8" style="78"/>
    <col min="11295" max="11295" width="9.140625" style="78" bestFit="1" customWidth="1"/>
    <col min="11296" max="11525" width="8" style="78"/>
    <col min="11526" max="11526" width="6" style="78" customWidth="1"/>
    <col min="11527" max="11527" width="30.140625" style="78" customWidth="1"/>
    <col min="11528" max="11528" width="13.42578125" style="78" customWidth="1"/>
    <col min="11529" max="11529" width="10.42578125" style="78" customWidth="1"/>
    <col min="11530" max="11530" width="10.140625" style="78" customWidth="1"/>
    <col min="11531" max="11533" width="9.28515625" style="78" customWidth="1"/>
    <col min="11534" max="11534" width="9" style="78" customWidth="1"/>
    <col min="11535" max="11535" width="9.140625" style="78" customWidth="1"/>
    <col min="11536" max="11536" width="10.5703125" style="78" customWidth="1"/>
    <col min="11537" max="11537" width="10.140625" style="78" customWidth="1"/>
    <col min="11538" max="11543" width="9.28515625" style="78" customWidth="1"/>
    <col min="11544" max="11549" width="0" style="78" hidden="1" customWidth="1"/>
    <col min="11550" max="11550" width="8" style="78"/>
    <col min="11551" max="11551" width="9.140625" style="78" bestFit="1" customWidth="1"/>
    <col min="11552" max="11781" width="8" style="78"/>
    <col min="11782" max="11782" width="6" style="78" customWidth="1"/>
    <col min="11783" max="11783" width="30.140625" style="78" customWidth="1"/>
    <col min="11784" max="11784" width="13.42578125" style="78" customWidth="1"/>
    <col min="11785" max="11785" width="10.42578125" style="78" customWidth="1"/>
    <col min="11786" max="11786" width="10.140625" style="78" customWidth="1"/>
    <col min="11787" max="11789" width="9.28515625" style="78" customWidth="1"/>
    <col min="11790" max="11790" width="9" style="78" customWidth="1"/>
    <col min="11791" max="11791" width="9.140625" style="78" customWidth="1"/>
    <col min="11792" max="11792" width="10.5703125" style="78" customWidth="1"/>
    <col min="11793" max="11793" width="10.140625" style="78" customWidth="1"/>
    <col min="11794" max="11799" width="9.28515625" style="78" customWidth="1"/>
    <col min="11800" max="11805" width="0" style="78" hidden="1" customWidth="1"/>
    <col min="11806" max="11806" width="8" style="78"/>
    <col min="11807" max="11807" width="9.140625" style="78" bestFit="1" customWidth="1"/>
    <col min="11808" max="12037" width="8" style="78"/>
    <col min="12038" max="12038" width="6" style="78" customWidth="1"/>
    <col min="12039" max="12039" width="30.140625" style="78" customWidth="1"/>
    <col min="12040" max="12040" width="13.42578125" style="78" customWidth="1"/>
    <col min="12041" max="12041" width="10.42578125" style="78" customWidth="1"/>
    <col min="12042" max="12042" width="10.140625" style="78" customWidth="1"/>
    <col min="12043" max="12045" width="9.28515625" style="78" customWidth="1"/>
    <col min="12046" max="12046" width="9" style="78" customWidth="1"/>
    <col min="12047" max="12047" width="9.140625" style="78" customWidth="1"/>
    <col min="12048" max="12048" width="10.5703125" style="78" customWidth="1"/>
    <col min="12049" max="12049" width="10.140625" style="78" customWidth="1"/>
    <col min="12050" max="12055" width="9.28515625" style="78" customWidth="1"/>
    <col min="12056" max="12061" width="0" style="78" hidden="1" customWidth="1"/>
    <col min="12062" max="12062" width="8" style="78"/>
    <col min="12063" max="12063" width="9.140625" style="78" bestFit="1" customWidth="1"/>
    <col min="12064" max="12293" width="8" style="78"/>
    <col min="12294" max="12294" width="6" style="78" customWidth="1"/>
    <col min="12295" max="12295" width="30.140625" style="78" customWidth="1"/>
    <col min="12296" max="12296" width="13.42578125" style="78" customWidth="1"/>
    <col min="12297" max="12297" width="10.42578125" style="78" customWidth="1"/>
    <col min="12298" max="12298" width="10.140625" style="78" customWidth="1"/>
    <col min="12299" max="12301" width="9.28515625" style="78" customWidth="1"/>
    <col min="12302" max="12302" width="9" style="78" customWidth="1"/>
    <col min="12303" max="12303" width="9.140625" style="78" customWidth="1"/>
    <col min="12304" max="12304" width="10.5703125" style="78" customWidth="1"/>
    <col min="12305" max="12305" width="10.140625" style="78" customWidth="1"/>
    <col min="12306" max="12311" width="9.28515625" style="78" customWidth="1"/>
    <col min="12312" max="12317" width="0" style="78" hidden="1" customWidth="1"/>
    <col min="12318" max="12318" width="8" style="78"/>
    <col min="12319" max="12319" width="9.140625" style="78" bestFit="1" customWidth="1"/>
    <col min="12320" max="12549" width="8" style="78"/>
    <col min="12550" max="12550" width="6" style="78" customWidth="1"/>
    <col min="12551" max="12551" width="30.140625" style="78" customWidth="1"/>
    <col min="12552" max="12552" width="13.42578125" style="78" customWidth="1"/>
    <col min="12553" max="12553" width="10.42578125" style="78" customWidth="1"/>
    <col min="12554" max="12554" width="10.140625" style="78" customWidth="1"/>
    <col min="12555" max="12557" width="9.28515625" style="78" customWidth="1"/>
    <col min="12558" max="12558" width="9" style="78" customWidth="1"/>
    <col min="12559" max="12559" width="9.140625" style="78" customWidth="1"/>
    <col min="12560" max="12560" width="10.5703125" style="78" customWidth="1"/>
    <col min="12561" max="12561" width="10.140625" style="78" customWidth="1"/>
    <col min="12562" max="12567" width="9.28515625" style="78" customWidth="1"/>
    <col min="12568" max="12573" width="0" style="78" hidden="1" customWidth="1"/>
    <col min="12574" max="12574" width="8" style="78"/>
    <col min="12575" max="12575" width="9.140625" style="78" bestFit="1" customWidth="1"/>
    <col min="12576" max="12805" width="8" style="78"/>
    <col min="12806" max="12806" width="6" style="78" customWidth="1"/>
    <col min="12807" max="12807" width="30.140625" style="78" customWidth="1"/>
    <col min="12808" max="12808" width="13.42578125" style="78" customWidth="1"/>
    <col min="12809" max="12809" width="10.42578125" style="78" customWidth="1"/>
    <col min="12810" max="12810" width="10.140625" style="78" customWidth="1"/>
    <col min="12811" max="12813" width="9.28515625" style="78" customWidth="1"/>
    <col min="12814" max="12814" width="9" style="78" customWidth="1"/>
    <col min="12815" max="12815" width="9.140625" style="78" customWidth="1"/>
    <col min="12816" max="12816" width="10.5703125" style="78" customWidth="1"/>
    <col min="12817" max="12817" width="10.140625" style="78" customWidth="1"/>
    <col min="12818" max="12823" width="9.28515625" style="78" customWidth="1"/>
    <col min="12824" max="12829" width="0" style="78" hidden="1" customWidth="1"/>
    <col min="12830" max="12830" width="8" style="78"/>
    <col min="12831" max="12831" width="9.140625" style="78" bestFit="1" customWidth="1"/>
    <col min="12832" max="13061" width="8" style="78"/>
    <col min="13062" max="13062" width="6" style="78" customWidth="1"/>
    <col min="13063" max="13063" width="30.140625" style="78" customWidth="1"/>
    <col min="13064" max="13064" width="13.42578125" style="78" customWidth="1"/>
    <col min="13065" max="13065" width="10.42578125" style="78" customWidth="1"/>
    <col min="13066" max="13066" width="10.140625" style="78" customWidth="1"/>
    <col min="13067" max="13069" width="9.28515625" style="78" customWidth="1"/>
    <col min="13070" max="13070" width="9" style="78" customWidth="1"/>
    <col min="13071" max="13071" width="9.140625" style="78" customWidth="1"/>
    <col min="13072" max="13072" width="10.5703125" style="78" customWidth="1"/>
    <col min="13073" max="13073" width="10.140625" style="78" customWidth="1"/>
    <col min="13074" max="13079" width="9.28515625" style="78" customWidth="1"/>
    <col min="13080" max="13085" width="0" style="78" hidden="1" customWidth="1"/>
    <col min="13086" max="13086" width="8" style="78"/>
    <col min="13087" max="13087" width="9.140625" style="78" bestFit="1" customWidth="1"/>
    <col min="13088" max="13317" width="8" style="78"/>
    <col min="13318" max="13318" width="6" style="78" customWidth="1"/>
    <col min="13319" max="13319" width="30.140625" style="78" customWidth="1"/>
    <col min="13320" max="13320" width="13.42578125" style="78" customWidth="1"/>
    <col min="13321" max="13321" width="10.42578125" style="78" customWidth="1"/>
    <col min="13322" max="13322" width="10.140625" style="78" customWidth="1"/>
    <col min="13323" max="13325" width="9.28515625" style="78" customWidth="1"/>
    <col min="13326" max="13326" width="9" style="78" customWidth="1"/>
    <col min="13327" max="13327" width="9.140625" style="78" customWidth="1"/>
    <col min="13328" max="13328" width="10.5703125" style="78" customWidth="1"/>
    <col min="13329" max="13329" width="10.140625" style="78" customWidth="1"/>
    <col min="13330" max="13335" width="9.28515625" style="78" customWidth="1"/>
    <col min="13336" max="13341" width="0" style="78" hidden="1" customWidth="1"/>
    <col min="13342" max="13342" width="8" style="78"/>
    <col min="13343" max="13343" width="9.140625" style="78" bestFit="1" customWidth="1"/>
    <col min="13344" max="13573" width="8" style="78"/>
    <col min="13574" max="13574" width="6" style="78" customWidth="1"/>
    <col min="13575" max="13575" width="30.140625" style="78" customWidth="1"/>
    <col min="13576" max="13576" width="13.42578125" style="78" customWidth="1"/>
    <col min="13577" max="13577" width="10.42578125" style="78" customWidth="1"/>
    <col min="13578" max="13578" width="10.140625" style="78" customWidth="1"/>
    <col min="13579" max="13581" width="9.28515625" style="78" customWidth="1"/>
    <col min="13582" max="13582" width="9" style="78" customWidth="1"/>
    <col min="13583" max="13583" width="9.140625" style="78" customWidth="1"/>
    <col min="13584" max="13584" width="10.5703125" style="78" customWidth="1"/>
    <col min="13585" max="13585" width="10.140625" style="78" customWidth="1"/>
    <col min="13586" max="13591" width="9.28515625" style="78" customWidth="1"/>
    <col min="13592" max="13597" width="0" style="78" hidden="1" customWidth="1"/>
    <col min="13598" max="13598" width="8" style="78"/>
    <col min="13599" max="13599" width="9.140625" style="78" bestFit="1" customWidth="1"/>
    <col min="13600" max="13829" width="8" style="78"/>
    <col min="13830" max="13830" width="6" style="78" customWidth="1"/>
    <col min="13831" max="13831" width="30.140625" style="78" customWidth="1"/>
    <col min="13832" max="13832" width="13.42578125" style="78" customWidth="1"/>
    <col min="13833" max="13833" width="10.42578125" style="78" customWidth="1"/>
    <col min="13834" max="13834" width="10.140625" style="78" customWidth="1"/>
    <col min="13835" max="13837" width="9.28515625" style="78" customWidth="1"/>
    <col min="13838" max="13838" width="9" style="78" customWidth="1"/>
    <col min="13839" max="13839" width="9.140625" style="78" customWidth="1"/>
    <col min="13840" max="13840" width="10.5703125" style="78" customWidth="1"/>
    <col min="13841" max="13841" width="10.140625" style="78" customWidth="1"/>
    <col min="13842" max="13847" width="9.28515625" style="78" customWidth="1"/>
    <col min="13848" max="13853" width="0" style="78" hidden="1" customWidth="1"/>
    <col min="13854" max="13854" width="8" style="78"/>
    <col min="13855" max="13855" width="9.140625" style="78" bestFit="1" customWidth="1"/>
    <col min="13856" max="14085" width="8" style="78"/>
    <col min="14086" max="14086" width="6" style="78" customWidth="1"/>
    <col min="14087" max="14087" width="30.140625" style="78" customWidth="1"/>
    <col min="14088" max="14088" width="13.42578125" style="78" customWidth="1"/>
    <col min="14089" max="14089" width="10.42578125" style="78" customWidth="1"/>
    <col min="14090" max="14090" width="10.140625" style="78" customWidth="1"/>
    <col min="14091" max="14093" width="9.28515625" style="78" customWidth="1"/>
    <col min="14094" max="14094" width="9" style="78" customWidth="1"/>
    <col min="14095" max="14095" width="9.140625" style="78" customWidth="1"/>
    <col min="14096" max="14096" width="10.5703125" style="78" customWidth="1"/>
    <col min="14097" max="14097" width="10.140625" style="78" customWidth="1"/>
    <col min="14098" max="14103" width="9.28515625" style="78" customWidth="1"/>
    <col min="14104" max="14109" width="0" style="78" hidden="1" customWidth="1"/>
    <col min="14110" max="14110" width="8" style="78"/>
    <col min="14111" max="14111" width="9.140625" style="78" bestFit="1" customWidth="1"/>
    <col min="14112" max="14341" width="8" style="78"/>
    <col min="14342" max="14342" width="6" style="78" customWidth="1"/>
    <col min="14343" max="14343" width="30.140625" style="78" customWidth="1"/>
    <col min="14344" max="14344" width="13.42578125" style="78" customWidth="1"/>
    <col min="14345" max="14345" width="10.42578125" style="78" customWidth="1"/>
    <col min="14346" max="14346" width="10.140625" style="78" customWidth="1"/>
    <col min="14347" max="14349" width="9.28515625" style="78" customWidth="1"/>
    <col min="14350" max="14350" width="9" style="78" customWidth="1"/>
    <col min="14351" max="14351" width="9.140625" style="78" customWidth="1"/>
    <col min="14352" max="14352" width="10.5703125" style="78" customWidth="1"/>
    <col min="14353" max="14353" width="10.140625" style="78" customWidth="1"/>
    <col min="14354" max="14359" width="9.28515625" style="78" customWidth="1"/>
    <col min="14360" max="14365" width="0" style="78" hidden="1" customWidth="1"/>
    <col min="14366" max="14366" width="8" style="78"/>
    <col min="14367" max="14367" width="9.140625" style="78" bestFit="1" customWidth="1"/>
    <col min="14368" max="14597" width="8" style="78"/>
    <col min="14598" max="14598" width="6" style="78" customWidth="1"/>
    <col min="14599" max="14599" width="30.140625" style="78" customWidth="1"/>
    <col min="14600" max="14600" width="13.42578125" style="78" customWidth="1"/>
    <col min="14601" max="14601" width="10.42578125" style="78" customWidth="1"/>
    <col min="14602" max="14602" width="10.140625" style="78" customWidth="1"/>
    <col min="14603" max="14605" width="9.28515625" style="78" customWidth="1"/>
    <col min="14606" max="14606" width="9" style="78" customWidth="1"/>
    <col min="14607" max="14607" width="9.140625" style="78" customWidth="1"/>
    <col min="14608" max="14608" width="10.5703125" style="78" customWidth="1"/>
    <col min="14609" max="14609" width="10.140625" style="78" customWidth="1"/>
    <col min="14610" max="14615" width="9.28515625" style="78" customWidth="1"/>
    <col min="14616" max="14621" width="0" style="78" hidden="1" customWidth="1"/>
    <col min="14622" max="14622" width="8" style="78"/>
    <col min="14623" max="14623" width="9.140625" style="78" bestFit="1" customWidth="1"/>
    <col min="14624" max="14853" width="8" style="78"/>
    <col min="14854" max="14854" width="6" style="78" customWidth="1"/>
    <col min="14855" max="14855" width="30.140625" style="78" customWidth="1"/>
    <col min="14856" max="14856" width="13.42578125" style="78" customWidth="1"/>
    <col min="14857" max="14857" width="10.42578125" style="78" customWidth="1"/>
    <col min="14858" max="14858" width="10.140625" style="78" customWidth="1"/>
    <col min="14859" max="14861" width="9.28515625" style="78" customWidth="1"/>
    <col min="14862" max="14862" width="9" style="78" customWidth="1"/>
    <col min="14863" max="14863" width="9.140625" style="78" customWidth="1"/>
    <col min="14864" max="14864" width="10.5703125" style="78" customWidth="1"/>
    <col min="14865" max="14865" width="10.140625" style="78" customWidth="1"/>
    <col min="14866" max="14871" width="9.28515625" style="78" customWidth="1"/>
    <col min="14872" max="14877" width="0" style="78" hidden="1" customWidth="1"/>
    <col min="14878" max="14878" width="8" style="78"/>
    <col min="14879" max="14879" width="9.140625" style="78" bestFit="1" customWidth="1"/>
    <col min="14880" max="15109" width="8" style="78"/>
    <col min="15110" max="15110" width="6" style="78" customWidth="1"/>
    <col min="15111" max="15111" width="30.140625" style="78" customWidth="1"/>
    <col min="15112" max="15112" width="13.42578125" style="78" customWidth="1"/>
    <col min="15113" max="15113" width="10.42578125" style="78" customWidth="1"/>
    <col min="15114" max="15114" width="10.140625" style="78" customWidth="1"/>
    <col min="15115" max="15117" width="9.28515625" style="78" customWidth="1"/>
    <col min="15118" max="15118" width="9" style="78" customWidth="1"/>
    <col min="15119" max="15119" width="9.140625" style="78" customWidth="1"/>
    <col min="15120" max="15120" width="10.5703125" style="78" customWidth="1"/>
    <col min="15121" max="15121" width="10.140625" style="78" customWidth="1"/>
    <col min="15122" max="15127" width="9.28515625" style="78" customWidth="1"/>
    <col min="15128" max="15133" width="0" style="78" hidden="1" customWidth="1"/>
    <col min="15134" max="15134" width="8" style="78"/>
    <col min="15135" max="15135" width="9.140625" style="78" bestFit="1" customWidth="1"/>
    <col min="15136" max="15365" width="8" style="78"/>
    <col min="15366" max="15366" width="6" style="78" customWidth="1"/>
    <col min="15367" max="15367" width="30.140625" style="78" customWidth="1"/>
    <col min="15368" max="15368" width="13.42578125" style="78" customWidth="1"/>
    <col min="15369" max="15369" width="10.42578125" style="78" customWidth="1"/>
    <col min="15370" max="15370" width="10.140625" style="78" customWidth="1"/>
    <col min="15371" max="15373" width="9.28515625" style="78" customWidth="1"/>
    <col min="15374" max="15374" width="9" style="78" customWidth="1"/>
    <col min="15375" max="15375" width="9.140625" style="78" customWidth="1"/>
    <col min="15376" max="15376" width="10.5703125" style="78" customWidth="1"/>
    <col min="15377" max="15377" width="10.140625" style="78" customWidth="1"/>
    <col min="15378" max="15383" width="9.28515625" style="78" customWidth="1"/>
    <col min="15384" max="15389" width="0" style="78" hidden="1" customWidth="1"/>
    <col min="15390" max="15390" width="8" style="78"/>
    <col min="15391" max="15391" width="9.140625" style="78" bestFit="1" customWidth="1"/>
    <col min="15392" max="15621" width="8" style="78"/>
    <col min="15622" max="15622" width="6" style="78" customWidth="1"/>
    <col min="15623" max="15623" width="30.140625" style="78" customWidth="1"/>
    <col min="15624" max="15624" width="13.42578125" style="78" customWidth="1"/>
    <col min="15625" max="15625" width="10.42578125" style="78" customWidth="1"/>
    <col min="15626" max="15626" width="10.140625" style="78" customWidth="1"/>
    <col min="15627" max="15629" width="9.28515625" style="78" customWidth="1"/>
    <col min="15630" max="15630" width="9" style="78" customWidth="1"/>
    <col min="15631" max="15631" width="9.140625" style="78" customWidth="1"/>
    <col min="15632" max="15632" width="10.5703125" style="78" customWidth="1"/>
    <col min="15633" max="15633" width="10.140625" style="78" customWidth="1"/>
    <col min="15634" max="15639" width="9.28515625" style="78" customWidth="1"/>
    <col min="15640" max="15645" width="0" style="78" hidden="1" customWidth="1"/>
    <col min="15646" max="15646" width="8" style="78"/>
    <col min="15647" max="15647" width="9.140625" style="78" bestFit="1" customWidth="1"/>
    <col min="15648" max="15877" width="8" style="78"/>
    <col min="15878" max="15878" width="6" style="78" customWidth="1"/>
    <col min="15879" max="15879" width="30.140625" style="78" customWidth="1"/>
    <col min="15880" max="15880" width="13.42578125" style="78" customWidth="1"/>
    <col min="15881" max="15881" width="10.42578125" style="78" customWidth="1"/>
    <col min="15882" max="15882" width="10.140625" style="78" customWidth="1"/>
    <col min="15883" max="15885" width="9.28515625" style="78" customWidth="1"/>
    <col min="15886" max="15886" width="9" style="78" customWidth="1"/>
    <col min="15887" max="15887" width="9.140625" style="78" customWidth="1"/>
    <col min="15888" max="15888" width="10.5703125" style="78" customWidth="1"/>
    <col min="15889" max="15889" width="10.140625" style="78" customWidth="1"/>
    <col min="15890" max="15895" width="9.28515625" style="78" customWidth="1"/>
    <col min="15896" max="15901" width="0" style="78" hidden="1" customWidth="1"/>
    <col min="15902" max="15902" width="8" style="78"/>
    <col min="15903" max="15903" width="9.140625" style="78" bestFit="1" customWidth="1"/>
    <col min="15904" max="16133" width="8" style="78"/>
    <col min="16134" max="16134" width="6" style="78" customWidth="1"/>
    <col min="16135" max="16135" width="30.140625" style="78" customWidth="1"/>
    <col min="16136" max="16136" width="13.42578125" style="78" customWidth="1"/>
    <col min="16137" max="16137" width="10.42578125" style="78" customWidth="1"/>
    <col min="16138" max="16138" width="10.140625" style="78" customWidth="1"/>
    <col min="16139" max="16141" width="9.28515625" style="78" customWidth="1"/>
    <col min="16142" max="16142" width="9" style="78" customWidth="1"/>
    <col min="16143" max="16143" width="9.140625" style="78" customWidth="1"/>
    <col min="16144" max="16144" width="10.5703125" style="78" customWidth="1"/>
    <col min="16145" max="16145" width="10.140625" style="78" customWidth="1"/>
    <col min="16146" max="16151" width="9.28515625" style="78" customWidth="1"/>
    <col min="16152" max="16157" width="0" style="78" hidden="1" customWidth="1"/>
    <col min="16158" max="16158" width="8" style="78"/>
    <col min="16159" max="16159" width="9.140625" style="78" bestFit="1" customWidth="1"/>
    <col min="16160" max="16384" width="8" style="78"/>
  </cols>
  <sheetData>
    <row r="1" spans="1:41" ht="21.75" customHeight="1" x14ac:dyDescent="0.2">
      <c r="D1" s="1167" t="s">
        <v>147</v>
      </c>
      <c r="E1" s="1167"/>
      <c r="F1" s="1167"/>
      <c r="G1" s="1167"/>
      <c r="H1" s="1167"/>
      <c r="I1" s="1167"/>
      <c r="J1" s="1167"/>
      <c r="K1" s="1168"/>
      <c r="L1" s="1168"/>
      <c r="M1" s="1168"/>
      <c r="N1" s="1168"/>
      <c r="O1" s="1168"/>
      <c r="P1" s="1168"/>
      <c r="Q1" s="1168"/>
      <c r="R1" s="1168"/>
      <c r="S1" s="1168"/>
      <c r="T1" s="1168"/>
      <c r="U1" s="1168"/>
      <c r="V1" s="1168"/>
      <c r="W1" s="1168"/>
    </row>
    <row r="2" spans="1:41" ht="18.75" customHeight="1" x14ac:dyDescent="0.3">
      <c r="B2" s="1169" t="s">
        <v>299</v>
      </c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42"/>
      <c r="T2" s="142"/>
      <c r="U2" s="142"/>
      <c r="V2" s="142"/>
      <c r="W2" s="143"/>
    </row>
    <row r="3" spans="1:41" x14ac:dyDescent="0.2">
      <c r="R3" s="145" t="s">
        <v>66</v>
      </c>
      <c r="S3" s="145"/>
      <c r="T3" s="145"/>
      <c r="U3" s="145"/>
      <c r="V3" s="145"/>
      <c r="W3" s="145"/>
    </row>
    <row r="4" spans="1:41" x14ac:dyDescent="0.2">
      <c r="A4" s="1165"/>
      <c r="B4" s="81" t="s">
        <v>0</v>
      </c>
      <c r="C4" s="72" t="s">
        <v>15</v>
      </c>
      <c r="D4" s="1170" t="s">
        <v>1</v>
      </c>
      <c r="E4" s="1171"/>
      <c r="F4" s="1171"/>
      <c r="G4" s="1172"/>
      <c r="H4" s="1170">
        <v>2014</v>
      </c>
      <c r="I4" s="1171"/>
      <c r="J4" s="1171"/>
      <c r="K4" s="1172"/>
      <c r="L4" s="1173">
        <v>2015</v>
      </c>
      <c r="M4" s="1174"/>
      <c r="N4" s="1174"/>
      <c r="O4" s="1175"/>
      <c r="P4" s="1161">
        <v>2016</v>
      </c>
      <c r="Q4" s="1162"/>
      <c r="R4" s="1176"/>
      <c r="S4" s="1177"/>
      <c r="T4" s="1161">
        <v>2017</v>
      </c>
      <c r="U4" s="1162"/>
      <c r="V4" s="1163"/>
      <c r="W4" s="1164"/>
      <c r="X4" s="146"/>
      <c r="Y4" s="146"/>
      <c r="AD4" s="1161">
        <v>2018</v>
      </c>
      <c r="AE4" s="1162"/>
      <c r="AF4" s="1163"/>
      <c r="AG4" s="1164"/>
      <c r="AH4" s="1161">
        <v>2019</v>
      </c>
      <c r="AI4" s="1162"/>
      <c r="AJ4" s="1163"/>
      <c r="AK4" s="1164"/>
      <c r="AL4" s="1161">
        <v>2020</v>
      </c>
      <c r="AM4" s="1162"/>
      <c r="AN4" s="1163"/>
      <c r="AO4" s="1164"/>
    </row>
    <row r="5" spans="1:41" ht="13.5" thickBot="1" x14ac:dyDescent="0.25">
      <c r="A5" s="1166"/>
      <c r="B5" s="147"/>
      <c r="C5" s="148"/>
      <c r="D5" s="235" t="s">
        <v>148</v>
      </c>
      <c r="E5" s="235" t="s">
        <v>4</v>
      </c>
      <c r="F5" s="235" t="s">
        <v>3</v>
      </c>
      <c r="G5" s="235" t="s">
        <v>5</v>
      </c>
      <c r="H5" s="962" t="s">
        <v>148</v>
      </c>
      <c r="I5" s="962" t="s">
        <v>4</v>
      </c>
      <c r="J5" s="962" t="s">
        <v>3</v>
      </c>
      <c r="K5" s="962" t="s">
        <v>5</v>
      </c>
      <c r="L5" s="962" t="s">
        <v>148</v>
      </c>
      <c r="M5" s="962" t="s">
        <v>4</v>
      </c>
      <c r="N5" s="963" t="s">
        <v>3</v>
      </c>
      <c r="O5" s="963" t="s">
        <v>5</v>
      </c>
      <c r="P5" s="963" t="s">
        <v>148</v>
      </c>
      <c r="Q5" s="963" t="s">
        <v>4</v>
      </c>
      <c r="R5" s="963" t="s">
        <v>3</v>
      </c>
      <c r="S5" s="963" t="s">
        <v>5</v>
      </c>
      <c r="T5" s="236" t="s">
        <v>148</v>
      </c>
      <c r="U5" s="236" t="s">
        <v>4</v>
      </c>
      <c r="V5" s="236" t="s">
        <v>3</v>
      </c>
      <c r="W5" s="237" t="s">
        <v>5</v>
      </c>
      <c r="X5" s="238"/>
      <c r="Y5" s="238"/>
      <c r="Z5" s="239"/>
      <c r="AA5" s="239"/>
      <c r="AB5" s="239"/>
      <c r="AC5" s="239"/>
      <c r="AD5" s="236" t="s">
        <v>148</v>
      </c>
      <c r="AE5" s="236" t="s">
        <v>4</v>
      </c>
      <c r="AF5" s="236" t="s">
        <v>3</v>
      </c>
      <c r="AG5" s="236" t="s">
        <v>5</v>
      </c>
      <c r="AH5" s="236" t="s">
        <v>148</v>
      </c>
      <c r="AI5" s="236" t="s">
        <v>4</v>
      </c>
      <c r="AJ5" s="236" t="s">
        <v>3</v>
      </c>
      <c r="AK5" s="236" t="s">
        <v>5</v>
      </c>
      <c r="AL5" s="236" t="s">
        <v>148</v>
      </c>
      <c r="AM5" s="236" t="s">
        <v>4</v>
      </c>
      <c r="AN5" s="236" t="s">
        <v>3</v>
      </c>
      <c r="AO5" s="236" t="s">
        <v>5</v>
      </c>
    </row>
    <row r="6" spans="1:41" ht="35.450000000000003" customHeight="1" x14ac:dyDescent="0.25">
      <c r="A6" s="149"/>
      <c r="B6" s="150" t="s">
        <v>310</v>
      </c>
      <c r="C6" s="150"/>
      <c r="D6" s="23">
        <f>E6+G6+F6</f>
        <v>318909.09120000002</v>
      </c>
      <c r="E6" s="240">
        <f t="shared" ref="E6:F6" si="0">I6+M6+Q6+U6+AE6+AI6+AM6</f>
        <v>3108.4</v>
      </c>
      <c r="F6" s="240">
        <f t="shared" si="0"/>
        <v>221867.5122</v>
      </c>
      <c r="G6" s="240">
        <f>K6+O6+S6+W6+AG6+AK6+AO6</f>
        <v>93933.179000000004</v>
      </c>
      <c r="H6" s="964">
        <f t="shared" ref="H6:O6" si="1">H7+H19+H203</f>
        <v>49517.53</v>
      </c>
      <c r="I6" s="964">
        <f t="shared" si="1"/>
        <v>0</v>
      </c>
      <c r="J6" s="964">
        <f t="shared" si="1"/>
        <v>36747.599999999999</v>
      </c>
      <c r="K6" s="964">
        <f t="shared" si="1"/>
        <v>12769.93</v>
      </c>
      <c r="L6" s="964">
        <f t="shared" si="1"/>
        <v>38376.750999999997</v>
      </c>
      <c r="M6" s="964">
        <f t="shared" si="1"/>
        <v>722.4</v>
      </c>
      <c r="N6" s="964">
        <f t="shared" si="1"/>
        <v>27768.799999999999</v>
      </c>
      <c r="O6" s="964">
        <f t="shared" si="1"/>
        <v>9885.5509999999995</v>
      </c>
      <c r="P6" s="964">
        <f>Q6+R6+S6</f>
        <v>47338.896280000001</v>
      </c>
      <c r="Q6" s="964">
        <f>Q7+Q19+Q203</f>
        <v>2386</v>
      </c>
      <c r="R6" s="964">
        <f>R7+R19+R203</f>
        <v>31261.712</v>
      </c>
      <c r="S6" s="965">
        <f>S7+S19+S203</f>
        <v>13691.184280000001</v>
      </c>
      <c r="T6" s="23">
        <f>U6+V6+W6</f>
        <v>55130.212920000005</v>
      </c>
      <c r="U6" s="23">
        <f>U7+U19+U203</f>
        <v>0</v>
      </c>
      <c r="V6" s="23">
        <f>V7+V19+V203</f>
        <v>36752.800199999998</v>
      </c>
      <c r="W6" s="23">
        <f>W7+W19+W203</f>
        <v>18377.412720000004</v>
      </c>
      <c r="X6" s="241"/>
      <c r="Y6" s="242"/>
      <c r="Z6" s="243"/>
      <c r="AA6" s="243"/>
      <c r="AB6" s="243"/>
      <c r="AC6" s="243"/>
      <c r="AD6" s="23">
        <f>AE6+AF6+AG6</f>
        <v>47101.7</v>
      </c>
      <c r="AE6" s="23">
        <f>AE7+AE19+AE203</f>
        <v>0</v>
      </c>
      <c r="AF6" s="23">
        <f>AF7+AF19+AF203</f>
        <v>30329.3</v>
      </c>
      <c r="AG6" s="23">
        <f>AG7+AG19+AG203</f>
        <v>16772.400000000001</v>
      </c>
      <c r="AH6" s="23">
        <f>AI6+AJ6+AK6</f>
        <v>36867.759999999995</v>
      </c>
      <c r="AI6" s="23">
        <f>AI7+AI19+AI203</f>
        <v>0</v>
      </c>
      <c r="AJ6" s="23">
        <f>AJ7+AJ19+AJ203</f>
        <v>29550.6</v>
      </c>
      <c r="AK6" s="23">
        <f>AK7+AK19+AK203</f>
        <v>7317.16</v>
      </c>
      <c r="AL6" s="23">
        <f>AM6+AN6+AO6</f>
        <v>44576.241000000002</v>
      </c>
      <c r="AM6" s="23">
        <f>AM7+AM19+AM203</f>
        <v>0</v>
      </c>
      <c r="AN6" s="23">
        <f>AN7+AN19+AN203</f>
        <v>29456.7</v>
      </c>
      <c r="AO6" s="23">
        <f>AO7+AO19+AO203</f>
        <v>15119.541000000001</v>
      </c>
    </row>
    <row r="7" spans="1:41" ht="60.75" x14ac:dyDescent="0.25">
      <c r="A7" s="149"/>
      <c r="B7" s="83" t="s">
        <v>198</v>
      </c>
      <c r="C7" s="83"/>
      <c r="D7" s="23">
        <f>D8</f>
        <v>20259.5</v>
      </c>
      <c r="E7" s="23">
        <f t="shared" ref="E7:W7" si="2">E8</f>
        <v>0</v>
      </c>
      <c r="F7" s="23">
        <f t="shared" si="2"/>
        <v>8737.7000000000007</v>
      </c>
      <c r="G7" s="23">
        <f>G8</f>
        <v>11521.8</v>
      </c>
      <c r="H7" s="964">
        <f t="shared" si="2"/>
        <v>11479.5</v>
      </c>
      <c r="I7" s="964">
        <f>I8</f>
        <v>0</v>
      </c>
      <c r="J7" s="964">
        <f>J8</f>
        <v>8737.7000000000007</v>
      </c>
      <c r="K7" s="964">
        <f t="shared" si="2"/>
        <v>2741.8</v>
      </c>
      <c r="L7" s="964">
        <f t="shared" si="2"/>
        <v>1000</v>
      </c>
      <c r="M7" s="964">
        <f t="shared" si="2"/>
        <v>0</v>
      </c>
      <c r="N7" s="964">
        <f t="shared" si="2"/>
        <v>0</v>
      </c>
      <c r="O7" s="964">
        <f t="shared" si="2"/>
        <v>1000</v>
      </c>
      <c r="P7" s="964">
        <f t="shared" si="2"/>
        <v>3180</v>
      </c>
      <c r="Q7" s="964">
        <f t="shared" si="2"/>
        <v>0</v>
      </c>
      <c r="R7" s="964">
        <f t="shared" si="2"/>
        <v>0</v>
      </c>
      <c r="S7" s="964">
        <f t="shared" si="2"/>
        <v>3180</v>
      </c>
      <c r="T7" s="23">
        <f t="shared" si="2"/>
        <v>0</v>
      </c>
      <c r="U7" s="23">
        <f t="shared" si="2"/>
        <v>0</v>
      </c>
      <c r="V7" s="23">
        <f t="shared" si="2"/>
        <v>0</v>
      </c>
      <c r="W7" s="23">
        <f t="shared" si="2"/>
        <v>0</v>
      </c>
      <c r="X7" s="753"/>
      <c r="Y7" s="753"/>
      <c r="Z7" s="754"/>
      <c r="AA7" s="754"/>
      <c r="AB7" s="754"/>
      <c r="AC7" s="754"/>
      <c r="AD7" s="429">
        <f>AE7+AF7+AG7</f>
        <v>4600</v>
      </c>
      <c r="AE7" s="429">
        <f>AE8</f>
        <v>0</v>
      </c>
      <c r="AF7" s="430">
        <f>AF8</f>
        <v>0</v>
      </c>
      <c r="AG7" s="429">
        <f>AG8</f>
        <v>4600</v>
      </c>
      <c r="AH7" s="429">
        <f>AI7+AJ7+AK7</f>
        <v>0</v>
      </c>
      <c r="AI7" s="429">
        <f t="shared" ref="AI7:AJ7" si="3">AI8</f>
        <v>0</v>
      </c>
      <c r="AJ7" s="429">
        <f t="shared" si="3"/>
        <v>0</v>
      </c>
      <c r="AK7" s="429">
        <f>AK8</f>
        <v>0</v>
      </c>
      <c r="AL7" s="429">
        <f>AM7+AN7+AO7</f>
        <v>0</v>
      </c>
      <c r="AM7" s="429">
        <f t="shared" ref="AM7:AN7" si="4">AM8</f>
        <v>0</v>
      </c>
      <c r="AN7" s="429">
        <f t="shared" si="4"/>
        <v>0</v>
      </c>
      <c r="AO7" s="429">
        <f>AO8</f>
        <v>0</v>
      </c>
    </row>
    <row r="8" spans="1:41" ht="48.75" x14ac:dyDescent="0.25">
      <c r="A8" s="732" t="s">
        <v>188</v>
      </c>
      <c r="B8" s="742" t="s">
        <v>280</v>
      </c>
      <c r="C8" s="742"/>
      <c r="D8" s="727">
        <f>E8+F8+G8</f>
        <v>20259.5</v>
      </c>
      <c r="E8" s="727">
        <f t="shared" ref="E8:F8" si="5">I8+M8+Q8+U8+AE8+AI8+AM8</f>
        <v>0</v>
      </c>
      <c r="F8" s="727">
        <f t="shared" si="5"/>
        <v>8737.7000000000007</v>
      </c>
      <c r="G8" s="727">
        <f>K8+O8+S8+W8+AG8+AK8+AO8</f>
        <v>11521.8</v>
      </c>
      <c r="H8" s="966">
        <f t="shared" ref="H8:J8" si="6">H9+H10+H12+H13+H11</f>
        <v>11479.5</v>
      </c>
      <c r="I8" s="966">
        <f t="shared" si="6"/>
        <v>0</v>
      </c>
      <c r="J8" s="966">
        <f t="shared" si="6"/>
        <v>8737.7000000000007</v>
      </c>
      <c r="K8" s="966">
        <f>K9+K10+K12+K13+K11</f>
        <v>2741.8</v>
      </c>
      <c r="L8" s="966">
        <f t="shared" ref="L8:R8" si="7">L9+L10+L12+L13+L11</f>
        <v>1000</v>
      </c>
      <c r="M8" s="966">
        <f t="shared" si="7"/>
        <v>0</v>
      </c>
      <c r="N8" s="966">
        <f t="shared" si="7"/>
        <v>0</v>
      </c>
      <c r="O8" s="966">
        <f t="shared" si="7"/>
        <v>1000</v>
      </c>
      <c r="P8" s="966">
        <f>Q8+R8+S8</f>
        <v>3180</v>
      </c>
      <c r="Q8" s="966">
        <f t="shared" si="7"/>
        <v>0</v>
      </c>
      <c r="R8" s="966">
        <f t="shared" si="7"/>
        <v>0</v>
      </c>
      <c r="S8" s="966">
        <f>S9+S10+S12+S13+S11+S14+S15+S16+S17</f>
        <v>3180</v>
      </c>
      <c r="T8" s="727">
        <f>U8+V8+W8</f>
        <v>0</v>
      </c>
      <c r="U8" s="727">
        <f t="shared" ref="U8:V8" si="8">U9+U10+U12+U13+U11+U14+U15+U16</f>
        <v>0</v>
      </c>
      <c r="V8" s="727">
        <f t="shared" si="8"/>
        <v>0</v>
      </c>
      <c r="W8" s="727">
        <f>W9+W10+W12+W13+W11+W14+W15+W16</f>
        <v>0</v>
      </c>
      <c r="X8" s="728"/>
      <c r="Y8" s="728"/>
      <c r="Z8" s="728"/>
      <c r="AA8" s="728"/>
      <c r="AB8" s="728"/>
      <c r="AC8" s="728"/>
      <c r="AD8" s="729">
        <f>AE8+AF8+AG8</f>
        <v>4600</v>
      </c>
      <c r="AE8" s="727">
        <f t="shared" ref="AE8:AF8" si="9">AE9+AE10+AE12+AE13+AE11+AE14+AE15+AE16+AE17+AE18</f>
        <v>0</v>
      </c>
      <c r="AF8" s="727">
        <f t="shared" si="9"/>
        <v>0</v>
      </c>
      <c r="AG8" s="727">
        <f>AG9+AG10+AG12+AG13+AG11+AG14+AG15+AG16+AG17+AG18</f>
        <v>4600</v>
      </c>
      <c r="AH8" s="730">
        <f>AI8+AJ8+AK8</f>
        <v>0</v>
      </c>
      <c r="AI8" s="731">
        <f t="shared" ref="AI8:AJ8" si="10">AI9+AI10+AI12+AI13+AI11+AI14+AI15+AI16</f>
        <v>0</v>
      </c>
      <c r="AJ8" s="731">
        <f t="shared" si="10"/>
        <v>0</v>
      </c>
      <c r="AK8" s="731">
        <f>AK9+AK10+AK12+AK13+AK11+AK14+AK15+AK16</f>
        <v>0</v>
      </c>
      <c r="AL8" s="790">
        <f>AM8+AN8+AO8</f>
        <v>0</v>
      </c>
      <c r="AM8" s="731">
        <f t="shared" ref="AM8:AN8" si="11">AM9+AM10+AM12+AM13+AM11+AM14+AM15+AM16</f>
        <v>0</v>
      </c>
      <c r="AN8" s="731">
        <f t="shared" si="11"/>
        <v>0</v>
      </c>
      <c r="AO8" s="731">
        <f>AO9+AO10+AO12+AO13+AO11+AO14+AO15+AO16</f>
        <v>0</v>
      </c>
    </row>
    <row r="9" spans="1:41" ht="58.5" customHeight="1" x14ac:dyDescent="0.25">
      <c r="A9" s="234" t="s">
        <v>6</v>
      </c>
      <c r="B9" s="108" t="s">
        <v>281</v>
      </c>
      <c r="C9" s="70" t="s">
        <v>64</v>
      </c>
      <c r="D9" s="26">
        <f>H9+L9+P9+T9+AD9+AH9+AL9</f>
        <v>0</v>
      </c>
      <c r="E9" s="26">
        <f t="shared" ref="E9:G13" si="12">I9+M9+Q9+U9+AE9+AI9</f>
        <v>0</v>
      </c>
      <c r="F9" s="26">
        <f t="shared" si="12"/>
        <v>0</v>
      </c>
      <c r="G9" s="26">
        <f>K9+O9+S9+W9+AG9+AK9</f>
        <v>0</v>
      </c>
      <c r="H9" s="967">
        <f>I9+J9+K9</f>
        <v>0</v>
      </c>
      <c r="I9" s="967"/>
      <c r="J9" s="967"/>
      <c r="K9" s="967"/>
      <c r="L9" s="967">
        <f>M9+N9+O9</f>
        <v>0</v>
      </c>
      <c r="M9" s="967"/>
      <c r="N9" s="967"/>
      <c r="O9" s="967"/>
      <c r="P9" s="967">
        <f>Q9+R9+S9</f>
        <v>0</v>
      </c>
      <c r="Q9" s="967"/>
      <c r="R9" s="967"/>
      <c r="S9" s="967"/>
      <c r="T9" s="26">
        <f>U9+V9+W9</f>
        <v>0</v>
      </c>
      <c r="U9" s="26"/>
      <c r="V9" s="26"/>
      <c r="W9" s="26"/>
      <c r="X9" s="262"/>
      <c r="Y9" s="262"/>
      <c r="Z9" s="262"/>
      <c r="AA9" s="262"/>
      <c r="AB9" s="262"/>
      <c r="AC9" s="262"/>
      <c r="AD9" s="252">
        <f t="shared" ref="AD9:AD18" si="13">AE9+AF9+AG9</f>
        <v>0</v>
      </c>
      <c r="AE9" s="320"/>
      <c r="AF9" s="320"/>
      <c r="AG9" s="320"/>
      <c r="AH9" s="693">
        <f t="shared" ref="AH9:AH16" si="14">AI9+AJ9+AK9</f>
        <v>0</v>
      </c>
      <c r="AI9" s="692"/>
      <c r="AJ9" s="692"/>
      <c r="AK9" s="692"/>
      <c r="AL9" s="867">
        <f>AM9+AN9+AO9</f>
        <v>0</v>
      </c>
      <c r="AM9" s="867"/>
      <c r="AN9" s="867"/>
      <c r="AO9" s="867"/>
    </row>
    <row r="10" spans="1:41" ht="105.6" customHeight="1" x14ac:dyDescent="0.25">
      <c r="A10" s="99" t="s">
        <v>8</v>
      </c>
      <c r="B10" s="68" t="s">
        <v>246</v>
      </c>
      <c r="C10" s="68" t="s">
        <v>84</v>
      </c>
      <c r="D10" s="26">
        <f>H10+L10+P10+T10+AD10+AH10+AL10</f>
        <v>6002.2</v>
      </c>
      <c r="E10" s="24">
        <f t="shared" si="12"/>
        <v>0</v>
      </c>
      <c r="F10" s="24">
        <f t="shared" si="12"/>
        <v>4669.2</v>
      </c>
      <c r="G10" s="24">
        <f>K10+O10+S10+W10+AG10+AK10</f>
        <v>1333</v>
      </c>
      <c r="H10" s="968">
        <f>I10+J10+K10</f>
        <v>6002.2</v>
      </c>
      <c r="I10" s="968"/>
      <c r="J10" s="968">
        <v>4669.2</v>
      </c>
      <c r="K10" s="968">
        <v>1333</v>
      </c>
      <c r="L10" s="968">
        <f>M10+N10+O10</f>
        <v>0</v>
      </c>
      <c r="M10" s="968"/>
      <c r="N10" s="968"/>
      <c r="O10" s="968"/>
      <c r="P10" s="968">
        <f>Q10+R10+S10</f>
        <v>0</v>
      </c>
      <c r="Q10" s="968"/>
      <c r="R10" s="967"/>
      <c r="S10" s="967"/>
      <c r="T10" s="26">
        <f>U10+V10+W10</f>
        <v>0</v>
      </c>
      <c r="U10" s="26"/>
      <c r="V10" s="26"/>
      <c r="W10" s="26"/>
      <c r="X10" s="262"/>
      <c r="Y10" s="262"/>
      <c r="Z10" s="262"/>
      <c r="AA10" s="262"/>
      <c r="AB10" s="262"/>
      <c r="AC10" s="262"/>
      <c r="AD10" s="252">
        <f t="shared" si="13"/>
        <v>0</v>
      </c>
      <c r="AE10" s="320"/>
      <c r="AF10" s="320"/>
      <c r="AG10" s="320"/>
      <c r="AH10" s="693">
        <f t="shared" si="14"/>
        <v>0</v>
      </c>
      <c r="AI10" s="692"/>
      <c r="AJ10" s="692"/>
      <c r="AK10" s="692"/>
      <c r="AL10" s="867">
        <f t="shared" ref="AL10:AL17" si="15">AM10+AN10+AO10</f>
        <v>0</v>
      </c>
      <c r="AM10" s="867"/>
      <c r="AN10" s="867"/>
      <c r="AO10" s="867"/>
    </row>
    <row r="11" spans="1:41" ht="122.45" customHeight="1" x14ac:dyDescent="0.25">
      <c r="A11" s="151" t="s">
        <v>52</v>
      </c>
      <c r="B11" s="68" t="s">
        <v>247</v>
      </c>
      <c r="C11" s="69" t="s">
        <v>85</v>
      </c>
      <c r="D11" s="26">
        <f>H11+L11+P11+T11+AD11+AH11+AL11</f>
        <v>4068.5</v>
      </c>
      <c r="E11" s="24">
        <f t="shared" si="12"/>
        <v>0</v>
      </c>
      <c r="F11" s="24">
        <f t="shared" si="12"/>
        <v>4068.5</v>
      </c>
      <c r="G11" s="24">
        <f t="shared" si="12"/>
        <v>0</v>
      </c>
      <c r="H11" s="968">
        <f>I11+J11+K11</f>
        <v>4068.5</v>
      </c>
      <c r="I11" s="968"/>
      <c r="J11" s="968">
        <v>4068.5</v>
      </c>
      <c r="K11" s="968"/>
      <c r="L11" s="968"/>
      <c r="M11" s="968"/>
      <c r="N11" s="968"/>
      <c r="O11" s="968"/>
      <c r="P11" s="968">
        <f>Q11+R11+S11</f>
        <v>0</v>
      </c>
      <c r="Q11" s="968"/>
      <c r="R11" s="967"/>
      <c r="S11" s="967"/>
      <c r="T11" s="26"/>
      <c r="U11" s="26"/>
      <c r="V11" s="26"/>
      <c r="W11" s="26"/>
      <c r="X11" s="262"/>
      <c r="Y11" s="262"/>
      <c r="Z11" s="262"/>
      <c r="AA11" s="262"/>
      <c r="AB11" s="262"/>
      <c r="AC11" s="262"/>
      <c r="AD11" s="252">
        <f t="shared" si="13"/>
        <v>0</v>
      </c>
      <c r="AE11" s="320"/>
      <c r="AF11" s="320"/>
      <c r="AG11" s="320"/>
      <c r="AH11" s="693">
        <f t="shared" si="14"/>
        <v>0</v>
      </c>
      <c r="AI11" s="692"/>
      <c r="AJ11" s="692"/>
      <c r="AK11" s="692"/>
      <c r="AL11" s="867">
        <f t="shared" si="15"/>
        <v>0</v>
      </c>
      <c r="AM11" s="867"/>
      <c r="AN11" s="867"/>
      <c r="AO11" s="867"/>
    </row>
    <row r="12" spans="1:41" ht="36.75" x14ac:dyDescent="0.25">
      <c r="A12" s="99" t="s">
        <v>206</v>
      </c>
      <c r="B12" s="68" t="s">
        <v>248</v>
      </c>
      <c r="C12" s="152" t="s">
        <v>118</v>
      </c>
      <c r="D12" s="26">
        <f>H12+L12+P12+T12+AD12+AH12+AL12</f>
        <v>608.79999999999995</v>
      </c>
      <c r="E12" s="24">
        <f t="shared" si="12"/>
        <v>0</v>
      </c>
      <c r="F12" s="24">
        <f t="shared" si="12"/>
        <v>0</v>
      </c>
      <c r="G12" s="24">
        <f t="shared" si="12"/>
        <v>608.79999999999995</v>
      </c>
      <c r="H12" s="968">
        <f>I12+J12+K12</f>
        <v>608.79999999999995</v>
      </c>
      <c r="I12" s="968"/>
      <c r="J12" s="968"/>
      <c r="K12" s="968">
        <v>608.79999999999995</v>
      </c>
      <c r="L12" s="968">
        <f>M12+N12+O12</f>
        <v>0</v>
      </c>
      <c r="M12" s="968"/>
      <c r="N12" s="968"/>
      <c r="O12" s="968">
        <v>0</v>
      </c>
      <c r="P12" s="968">
        <f>Q12+R12+S12</f>
        <v>0</v>
      </c>
      <c r="Q12" s="968"/>
      <c r="R12" s="967"/>
      <c r="S12" s="967"/>
      <c r="T12" s="26">
        <f>U12+V12+W12</f>
        <v>0</v>
      </c>
      <c r="U12" s="26"/>
      <c r="V12" s="26"/>
      <c r="W12" s="26"/>
      <c r="X12" s="262"/>
      <c r="Y12" s="262"/>
      <c r="Z12" s="262"/>
      <c r="AA12" s="262"/>
      <c r="AB12" s="262"/>
      <c r="AC12" s="262"/>
      <c r="AD12" s="252">
        <f t="shared" si="13"/>
        <v>0</v>
      </c>
      <c r="AE12" s="320"/>
      <c r="AF12" s="320"/>
      <c r="AG12" s="320"/>
      <c r="AH12" s="693">
        <f t="shared" si="14"/>
        <v>0</v>
      </c>
      <c r="AI12" s="692"/>
      <c r="AJ12" s="692"/>
      <c r="AK12" s="692"/>
      <c r="AL12" s="867">
        <f t="shared" si="15"/>
        <v>0</v>
      </c>
      <c r="AM12" s="867"/>
      <c r="AN12" s="867"/>
      <c r="AO12" s="867"/>
    </row>
    <row r="13" spans="1:41" ht="157.5" customHeight="1" x14ac:dyDescent="0.25">
      <c r="A13" s="99" t="s">
        <v>208</v>
      </c>
      <c r="B13" s="68" t="s">
        <v>283</v>
      </c>
      <c r="C13" s="68" t="s">
        <v>282</v>
      </c>
      <c r="D13" s="26">
        <f>H13+L13+P13+T13+AD13+AH13+AL13</f>
        <v>1800</v>
      </c>
      <c r="E13" s="24">
        <f t="shared" si="12"/>
        <v>0</v>
      </c>
      <c r="F13" s="24">
        <f t="shared" si="12"/>
        <v>0</v>
      </c>
      <c r="G13" s="24">
        <f t="shared" si="12"/>
        <v>1800</v>
      </c>
      <c r="H13" s="968">
        <f>I13+J13+K13</f>
        <v>800</v>
      </c>
      <c r="I13" s="968"/>
      <c r="J13" s="968"/>
      <c r="K13" s="968">
        <v>800</v>
      </c>
      <c r="L13" s="968">
        <f>M13+N13+O13</f>
        <v>1000</v>
      </c>
      <c r="M13" s="968"/>
      <c r="N13" s="968"/>
      <c r="O13" s="968">
        <v>1000</v>
      </c>
      <c r="P13" s="968"/>
      <c r="Q13" s="968"/>
      <c r="R13" s="967"/>
      <c r="S13" s="967"/>
      <c r="T13" s="26">
        <f t="shared" ref="T13:T16" si="16">U13+V13+W13</f>
        <v>0</v>
      </c>
      <c r="U13" s="26"/>
      <c r="V13" s="26"/>
      <c r="W13" s="26"/>
      <c r="X13" s="262"/>
      <c r="Y13" s="262"/>
      <c r="Z13" s="262"/>
      <c r="AA13" s="262"/>
      <c r="AB13" s="262"/>
      <c r="AC13" s="262"/>
      <c r="AD13" s="252">
        <f t="shared" si="13"/>
        <v>0</v>
      </c>
      <c r="AE13" s="320"/>
      <c r="AF13" s="320"/>
      <c r="AG13" s="320"/>
      <c r="AH13" s="693">
        <f t="shared" si="14"/>
        <v>0</v>
      </c>
      <c r="AI13" s="692"/>
      <c r="AJ13" s="692"/>
      <c r="AK13" s="692"/>
      <c r="AL13" s="867">
        <f t="shared" si="15"/>
        <v>0</v>
      </c>
      <c r="AM13" s="867"/>
      <c r="AN13" s="867"/>
      <c r="AO13" s="867"/>
    </row>
    <row r="14" spans="1:41" ht="50.45" customHeight="1" x14ac:dyDescent="0.25">
      <c r="A14" s="234" t="s">
        <v>210</v>
      </c>
      <c r="B14" s="319" t="s">
        <v>344</v>
      </c>
      <c r="C14" s="155" t="s">
        <v>298</v>
      </c>
      <c r="D14" s="26">
        <f t="shared" ref="D14:D50" si="17">E14+F14+G14</f>
        <v>180</v>
      </c>
      <c r="E14" s="24">
        <f t="shared" ref="E14:G30" si="18">I14+M14+Q14+U14+AE14+AI14+AM14</f>
        <v>0</v>
      </c>
      <c r="F14" s="24">
        <f t="shared" si="18"/>
        <v>0</v>
      </c>
      <c r="G14" s="24">
        <f>K14+O14+S14+W14+AG14+AK14+AO14</f>
        <v>180</v>
      </c>
      <c r="H14" s="967"/>
      <c r="I14" s="967"/>
      <c r="J14" s="967"/>
      <c r="K14" s="967"/>
      <c r="L14" s="967"/>
      <c r="M14" s="967"/>
      <c r="N14" s="967"/>
      <c r="O14" s="967"/>
      <c r="P14" s="967">
        <f>Q14+R14+S14</f>
        <v>180</v>
      </c>
      <c r="Q14" s="967"/>
      <c r="R14" s="967"/>
      <c r="S14" s="967">
        <v>180</v>
      </c>
      <c r="T14" s="26">
        <f t="shared" si="16"/>
        <v>0</v>
      </c>
      <c r="U14" s="26"/>
      <c r="V14" s="26"/>
      <c r="W14" s="26"/>
      <c r="X14" s="262"/>
      <c r="Y14" s="262"/>
      <c r="Z14" s="262"/>
      <c r="AA14" s="262"/>
      <c r="AB14" s="262"/>
      <c r="AC14" s="262"/>
      <c r="AD14" s="252">
        <f t="shared" si="13"/>
        <v>0</v>
      </c>
      <c r="AE14" s="320"/>
      <c r="AF14" s="320"/>
      <c r="AG14" s="320"/>
      <c r="AH14" s="693">
        <f t="shared" si="14"/>
        <v>0</v>
      </c>
      <c r="AI14" s="692"/>
      <c r="AJ14" s="692"/>
      <c r="AK14" s="692"/>
      <c r="AL14" s="867">
        <f t="shared" si="15"/>
        <v>0</v>
      </c>
      <c r="AM14" s="956"/>
      <c r="AN14" s="956"/>
      <c r="AO14" s="956"/>
    </row>
    <row r="15" spans="1:41" ht="50.45" customHeight="1" x14ac:dyDescent="0.25">
      <c r="A15" s="234" t="s">
        <v>209</v>
      </c>
      <c r="B15" s="319" t="s">
        <v>392</v>
      </c>
      <c r="C15" s="155" t="s">
        <v>388</v>
      </c>
      <c r="D15" s="26">
        <f t="shared" si="17"/>
        <v>0</v>
      </c>
      <c r="E15" s="24">
        <f t="shared" si="18"/>
        <v>0</v>
      </c>
      <c r="F15" s="24">
        <f t="shared" si="18"/>
        <v>0</v>
      </c>
      <c r="G15" s="24">
        <f t="shared" si="18"/>
        <v>0</v>
      </c>
      <c r="H15" s="967"/>
      <c r="I15" s="967"/>
      <c r="J15" s="967"/>
      <c r="K15" s="967"/>
      <c r="L15" s="967"/>
      <c r="M15" s="967"/>
      <c r="N15" s="967"/>
      <c r="O15" s="967"/>
      <c r="P15" s="967">
        <f>Q15+R15+S15</f>
        <v>0</v>
      </c>
      <c r="Q15" s="967"/>
      <c r="R15" s="967"/>
      <c r="S15" s="967">
        <v>0</v>
      </c>
      <c r="T15" s="26">
        <f t="shared" si="16"/>
        <v>0</v>
      </c>
      <c r="U15" s="26"/>
      <c r="V15" s="26"/>
      <c r="W15" s="26"/>
      <c r="X15" s="262"/>
      <c r="Y15" s="262"/>
      <c r="Z15" s="262"/>
      <c r="AA15" s="262"/>
      <c r="AB15" s="262"/>
      <c r="AC15" s="262"/>
      <c r="AD15" s="252">
        <f t="shared" si="13"/>
        <v>0</v>
      </c>
      <c r="AE15" s="320"/>
      <c r="AF15" s="320"/>
      <c r="AG15" s="320"/>
      <c r="AH15" s="693">
        <f t="shared" si="14"/>
        <v>0</v>
      </c>
      <c r="AI15" s="692"/>
      <c r="AJ15" s="692"/>
      <c r="AK15" s="692"/>
      <c r="AL15" s="867">
        <f t="shared" si="15"/>
        <v>0</v>
      </c>
      <c r="AM15" s="956"/>
      <c r="AN15" s="956"/>
      <c r="AO15" s="956"/>
    </row>
    <row r="16" spans="1:41" ht="42.6" customHeight="1" x14ac:dyDescent="0.25">
      <c r="A16" s="234" t="s">
        <v>211</v>
      </c>
      <c r="B16" s="156" t="s">
        <v>563</v>
      </c>
      <c r="C16" s="156" t="s">
        <v>99</v>
      </c>
      <c r="D16" s="26">
        <f t="shared" si="17"/>
        <v>0</v>
      </c>
      <c r="E16" s="24">
        <f t="shared" si="18"/>
        <v>0</v>
      </c>
      <c r="F16" s="24">
        <f t="shared" si="18"/>
        <v>0</v>
      </c>
      <c r="G16" s="24">
        <f t="shared" si="18"/>
        <v>0</v>
      </c>
      <c r="H16" s="967"/>
      <c r="I16" s="967"/>
      <c r="J16" s="967"/>
      <c r="K16" s="967"/>
      <c r="L16" s="967"/>
      <c r="M16" s="967"/>
      <c r="N16" s="967"/>
      <c r="O16" s="967"/>
      <c r="P16" s="967">
        <f>Q16+R16+S16</f>
        <v>0</v>
      </c>
      <c r="Q16" s="967"/>
      <c r="R16" s="967"/>
      <c r="S16" s="967">
        <v>0</v>
      </c>
      <c r="T16" s="26">
        <f t="shared" si="16"/>
        <v>0</v>
      </c>
      <c r="U16" s="26"/>
      <c r="V16" s="26"/>
      <c r="W16" s="26"/>
      <c r="X16" s="715"/>
      <c r="Y16" s="715"/>
      <c r="Z16" s="715"/>
      <c r="AA16" s="715"/>
      <c r="AB16" s="715"/>
      <c r="AC16" s="715"/>
      <c r="AD16" s="252">
        <f t="shared" si="13"/>
        <v>0</v>
      </c>
      <c r="AE16" s="320"/>
      <c r="AF16" s="320"/>
      <c r="AG16" s="320"/>
      <c r="AH16" s="693">
        <f t="shared" si="14"/>
        <v>0</v>
      </c>
      <c r="AI16" s="234"/>
      <c r="AJ16" s="234"/>
      <c r="AK16" s="234"/>
      <c r="AL16" s="867">
        <f t="shared" si="15"/>
        <v>0</v>
      </c>
      <c r="AM16" s="956"/>
      <c r="AN16" s="956"/>
      <c r="AO16" s="956"/>
    </row>
    <row r="17" spans="1:41" ht="42.6" customHeight="1" x14ac:dyDescent="0.25">
      <c r="A17" s="234" t="s">
        <v>212</v>
      </c>
      <c r="B17" s="156" t="s">
        <v>565</v>
      </c>
      <c r="C17" s="956" t="s">
        <v>566</v>
      </c>
      <c r="D17" s="26">
        <f t="shared" si="17"/>
        <v>3000</v>
      </c>
      <c r="E17" s="24">
        <f t="shared" si="18"/>
        <v>0</v>
      </c>
      <c r="F17" s="24">
        <f t="shared" si="18"/>
        <v>0</v>
      </c>
      <c r="G17" s="24">
        <f t="shared" si="18"/>
        <v>3000</v>
      </c>
      <c r="H17" s="967"/>
      <c r="I17" s="967"/>
      <c r="J17" s="967"/>
      <c r="K17" s="967"/>
      <c r="L17" s="967"/>
      <c r="M17" s="967"/>
      <c r="N17" s="967"/>
      <c r="O17" s="967"/>
      <c r="P17" s="967">
        <f>Q17+R17+S17</f>
        <v>3000</v>
      </c>
      <c r="Q17" s="967"/>
      <c r="R17" s="967"/>
      <c r="S17" s="967">
        <v>3000</v>
      </c>
      <c r="T17" s="26"/>
      <c r="U17" s="26"/>
      <c r="V17" s="26"/>
      <c r="W17" s="26"/>
      <c r="X17" s="715"/>
      <c r="Y17" s="715"/>
      <c r="Z17" s="715"/>
      <c r="AA17" s="715"/>
      <c r="AB17" s="715"/>
      <c r="AC17" s="715"/>
      <c r="AD17" s="252">
        <f t="shared" si="13"/>
        <v>0</v>
      </c>
      <c r="AE17" s="320"/>
      <c r="AF17" s="320"/>
      <c r="AG17" s="320"/>
      <c r="AH17" s="693"/>
      <c r="AI17" s="234"/>
      <c r="AJ17" s="234"/>
      <c r="AK17" s="234"/>
      <c r="AL17" s="867">
        <f t="shared" si="15"/>
        <v>0</v>
      </c>
      <c r="AM17" s="956"/>
      <c r="AN17" s="956"/>
      <c r="AO17" s="956"/>
    </row>
    <row r="18" spans="1:41" ht="42.6" customHeight="1" x14ac:dyDescent="0.25">
      <c r="A18" s="1102" t="s">
        <v>213</v>
      </c>
      <c r="B18" s="156" t="s">
        <v>645</v>
      </c>
      <c r="C18" s="956" t="s">
        <v>44</v>
      </c>
      <c r="D18" s="26"/>
      <c r="E18" s="24"/>
      <c r="F18" s="24"/>
      <c r="G18" s="24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26"/>
      <c r="U18" s="26"/>
      <c r="V18" s="26"/>
      <c r="W18" s="26"/>
      <c r="X18" s="715"/>
      <c r="Y18" s="715"/>
      <c r="Z18" s="715"/>
      <c r="AA18" s="715"/>
      <c r="AB18" s="715"/>
      <c r="AC18" s="715"/>
      <c r="AD18" s="252">
        <f t="shared" si="13"/>
        <v>4600</v>
      </c>
      <c r="AE18" s="320"/>
      <c r="AF18" s="320"/>
      <c r="AG18" s="693">
        <v>4600</v>
      </c>
      <c r="AH18" s="693"/>
      <c r="AI18" s="234"/>
      <c r="AJ18" s="234"/>
      <c r="AK18" s="234"/>
      <c r="AL18" s="867"/>
      <c r="AM18" s="956"/>
      <c r="AN18" s="956"/>
      <c r="AO18" s="956"/>
    </row>
    <row r="19" spans="1:41" ht="72.75" x14ac:dyDescent="0.25">
      <c r="A19" s="149"/>
      <c r="B19" s="83" t="s">
        <v>199</v>
      </c>
      <c r="C19" s="750"/>
      <c r="D19" s="240">
        <f t="shared" si="17"/>
        <v>298549.59120000002</v>
      </c>
      <c r="E19" s="23">
        <f t="shared" si="18"/>
        <v>3108.4</v>
      </c>
      <c r="F19" s="23">
        <f t="shared" si="18"/>
        <v>213129.81220000001</v>
      </c>
      <c r="G19" s="23">
        <f>K19+O19+S19+W19+AG19+AK19+AO19</f>
        <v>82311.379000000001</v>
      </c>
      <c r="H19" s="969">
        <f t="shared" ref="H19:O19" si="19">H21+H51+H134+H142+H184+H188</f>
        <v>37938.03</v>
      </c>
      <c r="I19" s="969">
        <f t="shared" si="19"/>
        <v>0</v>
      </c>
      <c r="J19" s="969">
        <f t="shared" si="19"/>
        <v>28009.899999999998</v>
      </c>
      <c r="K19" s="969">
        <f t="shared" si="19"/>
        <v>9928.1299999999992</v>
      </c>
      <c r="L19" s="969">
        <f t="shared" si="19"/>
        <v>37376.750999999997</v>
      </c>
      <c r="M19" s="969">
        <f t="shared" si="19"/>
        <v>722.4</v>
      </c>
      <c r="N19" s="969">
        <f t="shared" si="19"/>
        <v>27768.799999999999</v>
      </c>
      <c r="O19" s="969">
        <f t="shared" si="19"/>
        <v>8885.5509999999995</v>
      </c>
      <c r="P19" s="969">
        <f>P21+P51+P134+P142+P182+P184+P188</f>
        <v>44158.896280000001</v>
      </c>
      <c r="Q19" s="969">
        <f>Q21+Q51+Q134+Q142+Q184+Q188</f>
        <v>2386</v>
      </c>
      <c r="R19" s="969">
        <f>R21+R51+R134+R142+R184+R188</f>
        <v>31261.712</v>
      </c>
      <c r="S19" s="969">
        <f>S21+S51+S134+S142+S182+S184+S188</f>
        <v>10511.184280000001</v>
      </c>
      <c r="T19" s="240">
        <f>U19+V19+W19</f>
        <v>55130.212920000005</v>
      </c>
      <c r="U19" s="240">
        <f>U21+U51+U134+U142+U184+U188</f>
        <v>0</v>
      </c>
      <c r="V19" s="240">
        <f>V21+V51+V134+V142+V184+V188</f>
        <v>36752.800199999998</v>
      </c>
      <c r="W19" s="240">
        <f>W21+W51+W134+W142+W182+W184+W188</f>
        <v>18377.412720000004</v>
      </c>
      <c r="X19" s="751"/>
      <c r="Y19" s="751"/>
      <c r="Z19" s="751"/>
      <c r="AA19" s="751"/>
      <c r="AB19" s="751"/>
      <c r="AC19" s="751"/>
      <c r="AD19" s="752">
        <f>AE19+AF19+AG19</f>
        <v>42501.7</v>
      </c>
      <c r="AE19" s="240">
        <f>AE21+AE51+AE134+AE142+AE184+AE188</f>
        <v>0</v>
      </c>
      <c r="AF19" s="240">
        <f>AF21+AF51+AF134+AF142+AF184+AF188</f>
        <v>30329.3</v>
      </c>
      <c r="AG19" s="882">
        <f>AG21+AG51+AG134+AG142+AG182+AG184+AG188</f>
        <v>12172.4</v>
      </c>
      <c r="AH19" s="752">
        <f>AI19+AJ19+AK19</f>
        <v>36867.759999999995</v>
      </c>
      <c r="AI19" s="240">
        <f>AI21+AI51+AI134+AI142+AI184+AI188</f>
        <v>0</v>
      </c>
      <c r="AJ19" s="240">
        <f>AJ21+AJ51+AJ134+AJ142+AJ184+AJ188</f>
        <v>29550.6</v>
      </c>
      <c r="AK19" s="882">
        <f>AK21+AK51+AK134+AK142+AK182+AK184+AK188</f>
        <v>7317.16</v>
      </c>
      <c r="AL19" s="429">
        <f>AM19+AN19+AO19</f>
        <v>44576.241000000002</v>
      </c>
      <c r="AM19" s="240">
        <f>AM21+AM51+AM134+AM142+AM184+AM188</f>
        <v>0</v>
      </c>
      <c r="AN19" s="240">
        <f>AN21+AN51+AN134+AN142+AN184+AN188</f>
        <v>29456.7</v>
      </c>
      <c r="AO19" s="882">
        <f>AO21+AO51+AO134+AO142+AO182+AO184+AO188</f>
        <v>15119.541000000001</v>
      </c>
    </row>
    <row r="20" spans="1:41" ht="68.25" customHeight="1" x14ac:dyDescent="0.25">
      <c r="A20" s="732" t="s">
        <v>13</v>
      </c>
      <c r="B20" s="747" t="s">
        <v>249</v>
      </c>
      <c r="C20" s="748"/>
      <c r="D20" s="727">
        <f t="shared" si="17"/>
        <v>69751.357359999995</v>
      </c>
      <c r="E20" s="727">
        <f t="shared" si="18"/>
        <v>0</v>
      </c>
      <c r="F20" s="727">
        <f t="shared" si="18"/>
        <v>7656.9121999999988</v>
      </c>
      <c r="G20" s="727">
        <f>K20+O20+S20+W20+AG20+AK20+AO20</f>
        <v>62094.445159999996</v>
      </c>
      <c r="H20" s="966">
        <f>I20+J20+K20</f>
        <v>3824.93</v>
      </c>
      <c r="I20" s="966">
        <f>I21+I51+I134+I142</f>
        <v>0</v>
      </c>
      <c r="J20" s="966">
        <f>J21+J51+J134+J142</f>
        <v>0</v>
      </c>
      <c r="K20" s="966">
        <f>K21+K51+K134+K142</f>
        <v>3824.93</v>
      </c>
      <c r="L20" s="966">
        <f>M20+N20+O20</f>
        <v>7610.451</v>
      </c>
      <c r="M20" s="966">
        <f>M21+M51+M134+M142</f>
        <v>0</v>
      </c>
      <c r="N20" s="966">
        <f>N21+N51+N134+N142</f>
        <v>1929.6999999999998</v>
      </c>
      <c r="O20" s="966">
        <f>O21+O51+O134+O142</f>
        <v>5680.7510000000002</v>
      </c>
      <c r="P20" s="966">
        <f>Q20+R20+S20</f>
        <v>9298.0524400000013</v>
      </c>
      <c r="Q20" s="966">
        <f>Q21+Q51+Q134+Q142</f>
        <v>0</v>
      </c>
      <c r="R20" s="966">
        <f>R21+R51+R134+R142</f>
        <v>1673.5119999999999</v>
      </c>
      <c r="S20" s="966">
        <f>S21+S51+S134+S142+S182</f>
        <v>7624.5404400000007</v>
      </c>
      <c r="T20" s="727">
        <f>U20+V20+W20</f>
        <v>18255.522919999999</v>
      </c>
      <c r="U20" s="727">
        <f>U21+U51+U134+U142</f>
        <v>0</v>
      </c>
      <c r="V20" s="727">
        <f>V21+V51+V134+V142</f>
        <v>1910.6001999999999</v>
      </c>
      <c r="W20" s="727">
        <f>W21+W51+W134+W142+W182</f>
        <v>16344.92272</v>
      </c>
      <c r="X20" s="728"/>
      <c r="Y20" s="728"/>
      <c r="Z20" s="728"/>
      <c r="AA20" s="728"/>
      <c r="AB20" s="728"/>
      <c r="AC20" s="728"/>
      <c r="AD20" s="729">
        <f>AE20+AF20+AG20</f>
        <v>11201.3</v>
      </c>
      <c r="AE20" s="727">
        <f>AE21+AE51+AE134+AE142</f>
        <v>0</v>
      </c>
      <c r="AF20" s="727">
        <f>AF21+AF51+AF134+AF142</f>
        <v>1025.5</v>
      </c>
      <c r="AG20" s="727">
        <f>AG21+AG51+AG134+AG142+AG182</f>
        <v>10175.799999999999</v>
      </c>
      <c r="AH20" s="749">
        <f>AI20+AJ20+AK20</f>
        <v>5879.46</v>
      </c>
      <c r="AI20" s="731">
        <f>AI21+AI51+AI134+AI142+AI182</f>
        <v>0</v>
      </c>
      <c r="AJ20" s="731">
        <f>AJ21+AJ51+AJ134+AJ142+AJ182</f>
        <v>558.9</v>
      </c>
      <c r="AK20" s="731">
        <f>AK21+AK51+AK134+AK142+AK182</f>
        <v>5320.56</v>
      </c>
      <c r="AL20" s="790">
        <f>AM20+AN20+AO20</f>
        <v>13681.641000000001</v>
      </c>
      <c r="AM20" s="731">
        <f>AM21+AM51+AM134+AM142+AM182</f>
        <v>0</v>
      </c>
      <c r="AN20" s="731">
        <f>AN21+AN51+AN134+AN142+AN182</f>
        <v>558.70000000000005</v>
      </c>
      <c r="AO20" s="731">
        <f>AO21+AO51+AO134+AO142+AO182</f>
        <v>13122.941000000001</v>
      </c>
    </row>
    <row r="21" spans="1:41" ht="48.6" customHeight="1" x14ac:dyDescent="0.25">
      <c r="A21" s="797" t="s">
        <v>14</v>
      </c>
      <c r="B21" s="184" t="s">
        <v>250</v>
      </c>
      <c r="C21" s="184"/>
      <c r="D21" s="244">
        <f t="shared" si="17"/>
        <v>4668.1949999999997</v>
      </c>
      <c r="E21" s="244">
        <f t="shared" si="18"/>
        <v>0</v>
      </c>
      <c r="F21" s="244">
        <f t="shared" si="18"/>
        <v>1003.8509999999999</v>
      </c>
      <c r="G21" s="244">
        <f>K21+O21+S21+W21+AG21+AK21+AO21</f>
        <v>3664.3440000000001</v>
      </c>
      <c r="H21" s="970">
        <f t="shared" ref="H21:N21" si="20">SUM(H22:H44)</f>
        <v>137.30000000000001</v>
      </c>
      <c r="I21" s="970">
        <f t="shared" si="20"/>
        <v>0</v>
      </c>
      <c r="J21" s="970">
        <f t="shared" si="20"/>
        <v>0</v>
      </c>
      <c r="K21" s="970">
        <f t="shared" si="20"/>
        <v>137.30000000000001</v>
      </c>
      <c r="L21" s="970">
        <f t="shared" si="20"/>
        <v>3076.8850000000002</v>
      </c>
      <c r="M21" s="970">
        <f t="shared" si="20"/>
        <v>0</v>
      </c>
      <c r="N21" s="970">
        <f t="shared" si="20"/>
        <v>1003.8509999999999</v>
      </c>
      <c r="O21" s="970">
        <f>SUM(O22:O45)</f>
        <v>2073.0340000000001</v>
      </c>
      <c r="P21" s="971">
        <f>Q21+R21+S21</f>
        <v>1081.81</v>
      </c>
      <c r="Q21" s="970">
        <f>SUM(Q22:Q44)</f>
        <v>0</v>
      </c>
      <c r="R21" s="970">
        <f>SUM(R22:R45)</f>
        <v>0</v>
      </c>
      <c r="S21" s="970">
        <f>SUM(S22:S49)</f>
        <v>1081.81</v>
      </c>
      <c r="T21" s="244">
        <f>U21+V21+W21</f>
        <v>372.2</v>
      </c>
      <c r="U21" s="244">
        <f>SUM(U22:U44)</f>
        <v>0</v>
      </c>
      <c r="V21" s="244">
        <f>SUM(V22:V44)</f>
        <v>0</v>
      </c>
      <c r="W21" s="244">
        <f>SUM(W22:W50)</f>
        <v>372.2</v>
      </c>
      <c r="X21" s="245">
        <v>1226.8430000000001</v>
      </c>
      <c r="Y21" s="245">
        <v>1346.1569999999999</v>
      </c>
      <c r="Z21" s="246">
        <f>X21+Y21</f>
        <v>2573</v>
      </c>
      <c r="AA21" s="247">
        <v>0.75</v>
      </c>
      <c r="AB21" s="248"/>
      <c r="AC21" s="248"/>
      <c r="AD21" s="244">
        <f>AE21+AF21+AG21</f>
        <v>0</v>
      </c>
      <c r="AE21" s="244">
        <f t="shared" ref="AE21:AF21" si="21">SUM(AE22:AE50)</f>
        <v>0</v>
      </c>
      <c r="AF21" s="244">
        <f t="shared" si="21"/>
        <v>0</v>
      </c>
      <c r="AG21" s="244">
        <f>SUM(AG22:AG50)</f>
        <v>0</v>
      </c>
      <c r="AH21" s="1018">
        <f>AI21+AJ21+AK21</f>
        <v>0</v>
      </c>
      <c r="AI21" s="244">
        <f t="shared" ref="AI21:AJ21" si="22">SUM(AI22:AI50)</f>
        <v>0</v>
      </c>
      <c r="AJ21" s="244">
        <f t="shared" si="22"/>
        <v>0</v>
      </c>
      <c r="AK21" s="244">
        <f>SUM(AK22:AK50)</f>
        <v>0</v>
      </c>
      <c r="AL21" s="1017">
        <f>AM21+AN21+AO21</f>
        <v>0</v>
      </c>
      <c r="AM21" s="244">
        <f t="shared" ref="AM21:AN21" si="23">SUM(AM22:AM50)</f>
        <v>0</v>
      </c>
      <c r="AN21" s="244">
        <f t="shared" si="23"/>
        <v>0</v>
      </c>
      <c r="AO21" s="244">
        <f>SUM(AO22:AO50)</f>
        <v>0</v>
      </c>
    </row>
    <row r="22" spans="1:41" ht="36.75" x14ac:dyDescent="0.25">
      <c r="A22" s="153"/>
      <c r="B22" s="90" t="s">
        <v>152</v>
      </c>
      <c r="C22" s="74" t="s">
        <v>83</v>
      </c>
      <c r="D22" s="24">
        <f t="shared" si="17"/>
        <v>67.8</v>
      </c>
      <c r="E22" s="24">
        <f t="shared" si="18"/>
        <v>0</v>
      </c>
      <c r="F22" s="24">
        <f t="shared" si="18"/>
        <v>67.8</v>
      </c>
      <c r="G22" s="24">
        <f>K22+O22+S22+W22+AG22+AK22+AO22</f>
        <v>0</v>
      </c>
      <c r="H22" s="972"/>
      <c r="I22" s="972"/>
      <c r="J22" s="972"/>
      <c r="K22" s="968"/>
      <c r="L22" s="968">
        <f>M22+N22+O22</f>
        <v>67.8</v>
      </c>
      <c r="M22" s="968"/>
      <c r="N22" s="973">
        <v>67.8</v>
      </c>
      <c r="O22" s="894"/>
      <c r="P22" s="971">
        <f t="shared" ref="P22:P44" si="24">Q22+R22+S22</f>
        <v>0</v>
      </c>
      <c r="Q22" s="972"/>
      <c r="R22" s="968"/>
      <c r="S22" s="968"/>
      <c r="T22" s="24">
        <f t="shared" ref="T22:T50" si="25">U22+V22+W22</f>
        <v>0</v>
      </c>
      <c r="U22" s="249"/>
      <c r="V22" s="24"/>
      <c r="W22" s="24"/>
      <c r="X22" s="1019"/>
      <c r="Y22" s="1019"/>
      <c r="Z22" s="1019"/>
      <c r="AA22" s="1019"/>
      <c r="AB22" s="1019"/>
      <c r="AC22" s="1019"/>
      <c r="AD22" s="24">
        <f t="shared" ref="AD22:AD50" si="26">AE22+AF22+AG22</f>
        <v>0</v>
      </c>
      <c r="AE22" s="459"/>
      <c r="AF22" s="16"/>
      <c r="AG22" s="16"/>
      <c r="AH22" s="694">
        <f t="shared" ref="AH22:AH51" si="27">AI22+AJ22+AK22</f>
        <v>0</v>
      </c>
      <c r="AI22" s="422"/>
      <c r="AJ22" s="422"/>
      <c r="AK22" s="422"/>
      <c r="AL22" s="1013"/>
      <c r="AM22" s="1013"/>
      <c r="AN22" s="1013"/>
      <c r="AO22" s="1013"/>
    </row>
    <row r="23" spans="1:41" ht="36.75" x14ac:dyDescent="0.25">
      <c r="A23" s="153"/>
      <c r="B23" s="90" t="s">
        <v>152</v>
      </c>
      <c r="C23" s="74" t="s">
        <v>90</v>
      </c>
      <c r="D23" s="24">
        <f t="shared" si="17"/>
        <v>67.8</v>
      </c>
      <c r="E23" s="24">
        <f t="shared" si="18"/>
        <v>0</v>
      </c>
      <c r="F23" s="24">
        <f t="shared" si="18"/>
        <v>67.8</v>
      </c>
      <c r="G23" s="24">
        <f t="shared" si="18"/>
        <v>0</v>
      </c>
      <c r="H23" s="972"/>
      <c r="I23" s="972"/>
      <c r="J23" s="972"/>
      <c r="K23" s="968"/>
      <c r="L23" s="968">
        <f t="shared" ref="L23:L44" si="28">M23+N23+O23</f>
        <v>67.8</v>
      </c>
      <c r="M23" s="968"/>
      <c r="N23" s="973">
        <v>67.8</v>
      </c>
      <c r="O23" s="894"/>
      <c r="P23" s="971">
        <f t="shared" si="24"/>
        <v>0</v>
      </c>
      <c r="Q23" s="972"/>
      <c r="R23" s="968"/>
      <c r="S23" s="968"/>
      <c r="T23" s="24">
        <f t="shared" si="25"/>
        <v>0</v>
      </c>
      <c r="U23" s="249"/>
      <c r="V23" s="24"/>
      <c r="W23" s="24"/>
      <c r="X23" s="1019"/>
      <c r="Y23" s="1019"/>
      <c r="Z23" s="1019"/>
      <c r="AA23" s="1019"/>
      <c r="AB23" s="1019"/>
      <c r="AC23" s="1019"/>
      <c r="AD23" s="24">
        <f t="shared" si="26"/>
        <v>0</v>
      </c>
      <c r="AE23" s="459"/>
      <c r="AF23" s="16"/>
      <c r="AG23" s="16"/>
      <c r="AH23" s="694">
        <f t="shared" si="27"/>
        <v>0</v>
      </c>
      <c r="AI23" s="422"/>
      <c r="AJ23" s="422"/>
      <c r="AK23" s="422"/>
      <c r="AL23" s="1013"/>
      <c r="AM23" s="1013"/>
      <c r="AN23" s="1013"/>
      <c r="AO23" s="1013"/>
    </row>
    <row r="24" spans="1:41" ht="36.75" x14ac:dyDescent="0.25">
      <c r="A24" s="153"/>
      <c r="B24" s="90" t="s">
        <v>152</v>
      </c>
      <c r="C24" s="74" t="s">
        <v>25</v>
      </c>
      <c r="D24" s="24">
        <f t="shared" si="17"/>
        <v>67.819000000000003</v>
      </c>
      <c r="E24" s="24">
        <f t="shared" si="18"/>
        <v>0</v>
      </c>
      <c r="F24" s="24">
        <f t="shared" si="18"/>
        <v>67.819000000000003</v>
      </c>
      <c r="G24" s="24">
        <f t="shared" si="18"/>
        <v>0</v>
      </c>
      <c r="H24" s="972"/>
      <c r="I24" s="972"/>
      <c r="J24" s="972"/>
      <c r="K24" s="968"/>
      <c r="L24" s="968">
        <f t="shared" si="28"/>
        <v>67.819000000000003</v>
      </c>
      <c r="M24" s="968"/>
      <c r="N24" s="973">
        <v>67.819000000000003</v>
      </c>
      <c r="O24" s="894"/>
      <c r="P24" s="971">
        <f t="shared" si="24"/>
        <v>0</v>
      </c>
      <c r="Q24" s="972"/>
      <c r="R24" s="968"/>
      <c r="S24" s="968"/>
      <c r="T24" s="24">
        <f t="shared" si="25"/>
        <v>0</v>
      </c>
      <c r="U24" s="249"/>
      <c r="V24" s="24"/>
      <c r="W24" s="24"/>
      <c r="X24" s="1019"/>
      <c r="Y24" s="1019"/>
      <c r="Z24" s="1019"/>
      <c r="AA24" s="1019"/>
      <c r="AB24" s="1019"/>
      <c r="AC24" s="1019"/>
      <c r="AD24" s="24">
        <f t="shared" si="26"/>
        <v>0</v>
      </c>
      <c r="AE24" s="459"/>
      <c r="AF24" s="16"/>
      <c r="AG24" s="16"/>
      <c r="AH24" s="694">
        <f t="shared" si="27"/>
        <v>0</v>
      </c>
      <c r="AI24" s="422"/>
      <c r="AJ24" s="422"/>
      <c r="AK24" s="422"/>
      <c r="AL24" s="1013"/>
      <c r="AM24" s="1013"/>
      <c r="AN24" s="1013"/>
      <c r="AO24" s="1013"/>
    </row>
    <row r="25" spans="1:41" ht="15" x14ac:dyDescent="0.25">
      <c r="A25" s="153"/>
      <c r="B25" s="74" t="s">
        <v>121</v>
      </c>
      <c r="C25" s="74" t="s">
        <v>29</v>
      </c>
      <c r="D25" s="24">
        <f t="shared" si="17"/>
        <v>489.12400000000002</v>
      </c>
      <c r="E25" s="24">
        <f t="shared" si="18"/>
        <v>0</v>
      </c>
      <c r="F25" s="24">
        <f t="shared" si="18"/>
        <v>489.12400000000002</v>
      </c>
      <c r="G25" s="24">
        <f t="shared" si="18"/>
        <v>0</v>
      </c>
      <c r="H25" s="972"/>
      <c r="I25" s="972"/>
      <c r="J25" s="972"/>
      <c r="K25" s="968"/>
      <c r="L25" s="968">
        <f t="shared" si="28"/>
        <v>489.12400000000002</v>
      </c>
      <c r="M25" s="968"/>
      <c r="N25" s="968">
        <v>489.12400000000002</v>
      </c>
      <c r="O25" s="892"/>
      <c r="P25" s="971">
        <f t="shared" si="24"/>
        <v>0</v>
      </c>
      <c r="Q25" s="972"/>
      <c r="R25" s="968"/>
      <c r="S25" s="968"/>
      <c r="T25" s="24">
        <f t="shared" si="25"/>
        <v>0</v>
      </c>
      <c r="U25" s="249"/>
      <c r="V25" s="24"/>
      <c r="W25" s="24"/>
      <c r="X25" s="1019"/>
      <c r="Y25" s="1019"/>
      <c r="Z25" s="1019"/>
      <c r="AA25" s="1019"/>
      <c r="AB25" s="1019"/>
      <c r="AC25" s="1019"/>
      <c r="AD25" s="24">
        <f t="shared" si="26"/>
        <v>0</v>
      </c>
      <c r="AE25" s="459"/>
      <c r="AF25" s="16"/>
      <c r="AG25" s="16"/>
      <c r="AH25" s="694">
        <f t="shared" si="27"/>
        <v>0</v>
      </c>
      <c r="AI25" s="422"/>
      <c r="AJ25" s="422"/>
      <c r="AK25" s="422"/>
      <c r="AL25" s="1013"/>
      <c r="AM25" s="1013"/>
      <c r="AN25" s="1013"/>
      <c r="AO25" s="1013"/>
    </row>
    <row r="26" spans="1:41" ht="24.75" x14ac:dyDescent="0.25">
      <c r="A26" s="153"/>
      <c r="B26" s="74" t="s">
        <v>154</v>
      </c>
      <c r="C26" s="74" t="s">
        <v>38</v>
      </c>
      <c r="D26" s="24">
        <f t="shared" si="17"/>
        <v>83</v>
      </c>
      <c r="E26" s="24">
        <f t="shared" si="18"/>
        <v>0</v>
      </c>
      <c r="F26" s="24">
        <f t="shared" si="18"/>
        <v>83</v>
      </c>
      <c r="G26" s="24">
        <f t="shared" si="18"/>
        <v>0</v>
      </c>
      <c r="H26" s="972"/>
      <c r="I26" s="972"/>
      <c r="J26" s="972"/>
      <c r="K26" s="968"/>
      <c r="L26" s="968">
        <f t="shared" si="28"/>
        <v>83</v>
      </c>
      <c r="M26" s="968"/>
      <c r="N26" s="968">
        <v>83</v>
      </c>
      <c r="O26" s="892"/>
      <c r="P26" s="971">
        <f t="shared" si="24"/>
        <v>0</v>
      </c>
      <c r="Q26" s="972"/>
      <c r="R26" s="968"/>
      <c r="S26" s="968"/>
      <c r="T26" s="24">
        <f t="shared" si="25"/>
        <v>0</v>
      </c>
      <c r="U26" s="249"/>
      <c r="V26" s="24"/>
      <c r="W26" s="24"/>
      <c r="X26" s="1019"/>
      <c r="Y26" s="1019"/>
      <c r="Z26" s="1019"/>
      <c r="AA26" s="1019"/>
      <c r="AB26" s="1019"/>
      <c r="AC26" s="1019"/>
      <c r="AD26" s="24">
        <f t="shared" si="26"/>
        <v>0</v>
      </c>
      <c r="AE26" s="459"/>
      <c r="AF26" s="16"/>
      <c r="AG26" s="16"/>
      <c r="AH26" s="694">
        <f t="shared" si="27"/>
        <v>0</v>
      </c>
      <c r="AI26" s="422"/>
      <c r="AJ26" s="422"/>
      <c r="AK26" s="422"/>
      <c r="AL26" s="1013"/>
      <c r="AM26" s="1013"/>
      <c r="AN26" s="1013"/>
      <c r="AO26" s="1013"/>
    </row>
    <row r="27" spans="1:41" ht="25.5" customHeight="1" x14ac:dyDescent="0.25">
      <c r="A27" s="289"/>
      <c r="B27" s="108" t="s">
        <v>156</v>
      </c>
      <c r="C27" s="108" t="s">
        <v>33</v>
      </c>
      <c r="D27" s="24">
        <f t="shared" si="17"/>
        <v>97.988</v>
      </c>
      <c r="E27" s="24">
        <f t="shared" si="18"/>
        <v>0</v>
      </c>
      <c r="F27" s="24">
        <f t="shared" si="18"/>
        <v>97.988</v>
      </c>
      <c r="G27" s="24">
        <f t="shared" si="18"/>
        <v>0</v>
      </c>
      <c r="H27" s="974"/>
      <c r="I27" s="974"/>
      <c r="J27" s="974"/>
      <c r="K27" s="967"/>
      <c r="L27" s="967">
        <f t="shared" si="28"/>
        <v>97.988</v>
      </c>
      <c r="M27" s="967"/>
      <c r="N27" s="975">
        <f>98-0.012</f>
        <v>97.988</v>
      </c>
      <c r="O27" s="897"/>
      <c r="P27" s="967">
        <f t="shared" si="24"/>
        <v>0</v>
      </c>
      <c r="Q27" s="974"/>
      <c r="R27" s="967"/>
      <c r="S27" s="967"/>
      <c r="T27" s="24">
        <f t="shared" si="25"/>
        <v>0</v>
      </c>
      <c r="U27" s="249"/>
      <c r="V27" s="24"/>
      <c r="W27" s="24"/>
      <c r="X27" s="1019"/>
      <c r="Y27" s="1019"/>
      <c r="Z27" s="1019"/>
      <c r="AA27" s="1019"/>
      <c r="AB27" s="1019"/>
      <c r="AC27" s="1019"/>
      <c r="AD27" s="24">
        <f t="shared" si="26"/>
        <v>0</v>
      </c>
      <c r="AE27" s="459"/>
      <c r="AF27" s="16"/>
      <c r="AG27" s="16"/>
      <c r="AH27" s="694">
        <f t="shared" si="27"/>
        <v>0</v>
      </c>
      <c r="AI27" s="422"/>
      <c r="AJ27" s="422"/>
      <c r="AK27" s="422"/>
      <c r="AL27" s="1013"/>
      <c r="AM27" s="1013"/>
      <c r="AN27" s="1013"/>
      <c r="AO27" s="1013"/>
    </row>
    <row r="28" spans="1:41" ht="36.75" x14ac:dyDescent="0.25">
      <c r="A28" s="289"/>
      <c r="B28" s="108" t="s">
        <v>145</v>
      </c>
      <c r="C28" s="108" t="s">
        <v>33</v>
      </c>
      <c r="D28" s="24">
        <f t="shared" si="17"/>
        <v>12.95</v>
      </c>
      <c r="E28" s="24">
        <f t="shared" si="18"/>
        <v>0</v>
      </c>
      <c r="F28" s="24">
        <f t="shared" si="18"/>
        <v>0</v>
      </c>
      <c r="G28" s="24">
        <f t="shared" si="18"/>
        <v>12.95</v>
      </c>
      <c r="H28" s="974"/>
      <c r="I28" s="974"/>
      <c r="J28" s="974"/>
      <c r="K28" s="967"/>
      <c r="L28" s="967">
        <f t="shared" si="28"/>
        <v>12.95</v>
      </c>
      <c r="M28" s="967"/>
      <c r="N28" s="897"/>
      <c r="O28" s="975">
        <v>12.95</v>
      </c>
      <c r="P28" s="967">
        <f t="shared" si="24"/>
        <v>0</v>
      </c>
      <c r="Q28" s="974"/>
      <c r="R28" s="967"/>
      <c r="S28" s="967"/>
      <c r="T28" s="24">
        <f t="shared" si="25"/>
        <v>0</v>
      </c>
      <c r="U28" s="249"/>
      <c r="V28" s="24"/>
      <c r="W28" s="24"/>
      <c r="X28" s="1019"/>
      <c r="Y28" s="1019"/>
      <c r="Z28" s="1019"/>
      <c r="AA28" s="1019"/>
      <c r="AB28" s="1019"/>
      <c r="AC28" s="1019"/>
      <c r="AD28" s="24">
        <f t="shared" si="26"/>
        <v>0</v>
      </c>
      <c r="AE28" s="459"/>
      <c r="AF28" s="16"/>
      <c r="AG28" s="16"/>
      <c r="AH28" s="694">
        <f t="shared" si="27"/>
        <v>0</v>
      </c>
      <c r="AI28" s="422"/>
      <c r="AJ28" s="422"/>
      <c r="AK28" s="422"/>
      <c r="AL28" s="1013"/>
      <c r="AM28" s="1013"/>
      <c r="AN28" s="1013"/>
      <c r="AO28" s="1013"/>
    </row>
    <row r="29" spans="1:41" ht="48.75" x14ac:dyDescent="0.25">
      <c r="A29" s="762"/>
      <c r="B29" s="155" t="s">
        <v>627</v>
      </c>
      <c r="C29" s="155" t="s">
        <v>628</v>
      </c>
      <c r="D29" s="24">
        <f t="shared" si="17"/>
        <v>1140.03</v>
      </c>
      <c r="E29" s="24">
        <f t="shared" si="18"/>
        <v>0</v>
      </c>
      <c r="F29" s="24">
        <f t="shared" si="18"/>
        <v>130.32</v>
      </c>
      <c r="G29" s="24">
        <f t="shared" si="18"/>
        <v>1009.71</v>
      </c>
      <c r="H29" s="976"/>
      <c r="I29" s="976"/>
      <c r="J29" s="976"/>
      <c r="K29" s="976"/>
      <c r="L29" s="976">
        <f t="shared" si="28"/>
        <v>840.03</v>
      </c>
      <c r="M29" s="967"/>
      <c r="N29" s="975">
        <v>130.32</v>
      </c>
      <c r="O29" s="975">
        <v>709.71</v>
      </c>
      <c r="P29" s="967">
        <f t="shared" si="24"/>
        <v>0</v>
      </c>
      <c r="Q29" s="974"/>
      <c r="R29" s="967"/>
      <c r="S29" s="967"/>
      <c r="T29" s="24">
        <f t="shared" si="25"/>
        <v>300</v>
      </c>
      <c r="U29" s="249"/>
      <c r="V29" s="24"/>
      <c r="W29" s="24">
        <v>300</v>
      </c>
      <c r="X29" s="1019"/>
      <c r="Y29" s="1019"/>
      <c r="Z29" s="1019"/>
      <c r="AA29" s="1019"/>
      <c r="AB29" s="1019"/>
      <c r="AC29" s="1019"/>
      <c r="AD29" s="24">
        <f t="shared" si="26"/>
        <v>0</v>
      </c>
      <c r="AE29" s="459"/>
      <c r="AF29" s="16"/>
      <c r="AG29" s="16"/>
      <c r="AH29" s="694">
        <f t="shared" si="27"/>
        <v>0</v>
      </c>
      <c r="AI29" s="422"/>
      <c r="AJ29" s="422"/>
      <c r="AK29" s="422"/>
      <c r="AL29" s="1013"/>
      <c r="AM29" s="1013"/>
      <c r="AN29" s="1013"/>
      <c r="AO29" s="1013"/>
    </row>
    <row r="30" spans="1:41" ht="15" x14ac:dyDescent="0.25">
      <c r="A30" s="289"/>
      <c r="B30" s="108" t="s">
        <v>125</v>
      </c>
      <c r="C30" s="108" t="s">
        <v>79</v>
      </c>
      <c r="D30" s="24">
        <f t="shared" si="17"/>
        <v>33</v>
      </c>
      <c r="E30" s="24">
        <f t="shared" si="18"/>
        <v>0</v>
      </c>
      <c r="F30" s="24">
        <f t="shared" si="18"/>
        <v>0</v>
      </c>
      <c r="G30" s="24">
        <f t="shared" si="18"/>
        <v>33</v>
      </c>
      <c r="H30" s="967"/>
      <c r="I30" s="967"/>
      <c r="J30" s="967"/>
      <c r="K30" s="967"/>
      <c r="L30" s="967">
        <f t="shared" si="28"/>
        <v>33</v>
      </c>
      <c r="M30" s="967"/>
      <c r="N30" s="975"/>
      <c r="O30" s="975">
        <v>33</v>
      </c>
      <c r="P30" s="967">
        <f t="shared" si="24"/>
        <v>0</v>
      </c>
      <c r="Q30" s="974"/>
      <c r="R30" s="967"/>
      <c r="S30" s="967"/>
      <c r="T30" s="24">
        <f t="shared" si="25"/>
        <v>0</v>
      </c>
      <c r="U30" s="249"/>
      <c r="V30" s="24"/>
      <c r="W30" s="24"/>
      <c r="X30" s="1019"/>
      <c r="Y30" s="1019"/>
      <c r="Z30" s="1019"/>
      <c r="AA30" s="1019"/>
      <c r="AB30" s="1019"/>
      <c r="AC30" s="1019"/>
      <c r="AD30" s="24">
        <f t="shared" si="26"/>
        <v>0</v>
      </c>
      <c r="AE30" s="459"/>
      <c r="AF30" s="16"/>
      <c r="AG30" s="16"/>
      <c r="AH30" s="694">
        <f t="shared" si="27"/>
        <v>0</v>
      </c>
      <c r="AI30" s="422"/>
      <c r="AJ30" s="422"/>
      <c r="AK30" s="422"/>
      <c r="AL30" s="1013"/>
      <c r="AM30" s="1013"/>
      <c r="AN30" s="1013"/>
      <c r="AO30" s="1013"/>
    </row>
    <row r="31" spans="1:41" ht="15" x14ac:dyDescent="0.25">
      <c r="A31" s="289"/>
      <c r="B31" s="108" t="s">
        <v>71</v>
      </c>
      <c r="C31" s="108" t="s">
        <v>31</v>
      </c>
      <c r="D31" s="24">
        <f t="shared" si="17"/>
        <v>42.3</v>
      </c>
      <c r="E31" s="24">
        <f t="shared" ref="E31:G66" si="29">I31+M31+Q31+U31+AE31+AI31+AM31</f>
        <v>0</v>
      </c>
      <c r="F31" s="24">
        <f t="shared" si="29"/>
        <v>0</v>
      </c>
      <c r="G31" s="24">
        <f t="shared" si="29"/>
        <v>42.3</v>
      </c>
      <c r="H31" s="967">
        <f>I31+J31+K31</f>
        <v>42.3</v>
      </c>
      <c r="I31" s="967"/>
      <c r="J31" s="967"/>
      <c r="K31" s="967">
        <v>42.3</v>
      </c>
      <c r="L31" s="967">
        <f t="shared" si="28"/>
        <v>0</v>
      </c>
      <c r="M31" s="967"/>
      <c r="N31" s="897"/>
      <c r="O31" s="897"/>
      <c r="P31" s="967">
        <f t="shared" si="24"/>
        <v>0</v>
      </c>
      <c r="Q31" s="974"/>
      <c r="R31" s="967"/>
      <c r="S31" s="967"/>
      <c r="T31" s="24">
        <f t="shared" si="25"/>
        <v>0</v>
      </c>
      <c r="U31" s="249"/>
      <c r="V31" s="24"/>
      <c r="W31" s="24"/>
      <c r="X31" s="1019"/>
      <c r="Y31" s="1019"/>
      <c r="Z31" s="1019"/>
      <c r="AA31" s="1019"/>
      <c r="AB31" s="1019"/>
      <c r="AC31" s="1019"/>
      <c r="AD31" s="24">
        <f t="shared" si="26"/>
        <v>0</v>
      </c>
      <c r="AE31" s="459"/>
      <c r="AF31" s="16"/>
      <c r="AG31" s="16"/>
      <c r="AH31" s="694">
        <f t="shared" si="27"/>
        <v>0</v>
      </c>
      <c r="AI31" s="422"/>
      <c r="AJ31" s="422"/>
      <c r="AK31" s="422"/>
      <c r="AL31" s="1013"/>
      <c r="AM31" s="1013"/>
      <c r="AN31" s="1013"/>
      <c r="AO31" s="1013"/>
    </row>
    <row r="32" spans="1:41" ht="36.75" x14ac:dyDescent="0.25">
      <c r="A32" s="289"/>
      <c r="B32" s="108" t="s">
        <v>145</v>
      </c>
      <c r="C32" s="108" t="s">
        <v>31</v>
      </c>
      <c r="D32" s="24">
        <f t="shared" si="17"/>
        <v>16</v>
      </c>
      <c r="E32" s="24">
        <f t="shared" si="29"/>
        <v>0</v>
      </c>
      <c r="F32" s="24">
        <f t="shared" si="29"/>
        <v>0</v>
      </c>
      <c r="G32" s="24">
        <f t="shared" si="29"/>
        <v>16</v>
      </c>
      <c r="H32" s="967">
        <f>I32+J32+K32</f>
        <v>0</v>
      </c>
      <c r="I32" s="974"/>
      <c r="J32" s="967"/>
      <c r="K32" s="967"/>
      <c r="L32" s="967">
        <f t="shared" si="28"/>
        <v>16</v>
      </c>
      <c r="M32" s="967"/>
      <c r="N32" s="897"/>
      <c r="O32" s="975">
        <v>16</v>
      </c>
      <c r="P32" s="967">
        <f t="shared" si="24"/>
        <v>0</v>
      </c>
      <c r="Q32" s="974"/>
      <c r="R32" s="967"/>
      <c r="S32" s="967"/>
      <c r="T32" s="24">
        <f t="shared" si="25"/>
        <v>0</v>
      </c>
      <c r="U32" s="249"/>
      <c r="V32" s="24"/>
      <c r="W32" s="24"/>
      <c r="X32" s="1019"/>
      <c r="Y32" s="1019"/>
      <c r="Z32" s="1019"/>
      <c r="AA32" s="1019"/>
      <c r="AB32" s="1019"/>
      <c r="AC32" s="1019"/>
      <c r="AD32" s="24">
        <f t="shared" si="26"/>
        <v>0</v>
      </c>
      <c r="AE32" s="459"/>
      <c r="AF32" s="16"/>
      <c r="AG32" s="16"/>
      <c r="AH32" s="694">
        <f t="shared" si="27"/>
        <v>0</v>
      </c>
      <c r="AI32" s="422"/>
      <c r="AJ32" s="422"/>
      <c r="AK32" s="422"/>
      <c r="AL32" s="1013"/>
      <c r="AM32" s="1013"/>
      <c r="AN32" s="1013"/>
      <c r="AO32" s="1013"/>
    </row>
    <row r="33" spans="1:41" ht="24.75" x14ac:dyDescent="0.25">
      <c r="A33" s="289"/>
      <c r="B33" s="108" t="s">
        <v>24</v>
      </c>
      <c r="C33" s="108" t="s">
        <v>26</v>
      </c>
      <c r="D33" s="24">
        <f t="shared" si="17"/>
        <v>95</v>
      </c>
      <c r="E33" s="24">
        <f t="shared" si="29"/>
        <v>0</v>
      </c>
      <c r="F33" s="24">
        <f t="shared" si="29"/>
        <v>0</v>
      </c>
      <c r="G33" s="24">
        <f t="shared" si="29"/>
        <v>95</v>
      </c>
      <c r="H33" s="967">
        <f>I33+J33+K33</f>
        <v>95</v>
      </c>
      <c r="I33" s="967"/>
      <c r="J33" s="967"/>
      <c r="K33" s="967">
        <v>95</v>
      </c>
      <c r="L33" s="967">
        <f t="shared" si="28"/>
        <v>0</v>
      </c>
      <c r="M33" s="967"/>
      <c r="N33" s="897"/>
      <c r="O33" s="975"/>
      <c r="P33" s="967">
        <f t="shared" si="24"/>
        <v>0</v>
      </c>
      <c r="Q33" s="974"/>
      <c r="R33" s="967"/>
      <c r="S33" s="967"/>
      <c r="T33" s="24">
        <f t="shared" si="25"/>
        <v>0</v>
      </c>
      <c r="U33" s="249"/>
      <c r="V33" s="24"/>
      <c r="W33" s="24"/>
      <c r="X33" s="1019"/>
      <c r="Y33" s="1019"/>
      <c r="Z33" s="1019"/>
      <c r="AA33" s="1019"/>
      <c r="AB33" s="1019"/>
      <c r="AC33" s="1019"/>
      <c r="AD33" s="24">
        <f t="shared" si="26"/>
        <v>0</v>
      </c>
      <c r="AE33" s="1020"/>
      <c r="AF33" s="16"/>
      <c r="AG33" s="16"/>
      <c r="AH33" s="694">
        <f t="shared" si="27"/>
        <v>0</v>
      </c>
      <c r="AI33" s="422"/>
      <c r="AJ33" s="422"/>
      <c r="AK33" s="422"/>
      <c r="AL33" s="1013"/>
      <c r="AM33" s="1013"/>
      <c r="AN33" s="1013"/>
      <c r="AO33" s="1013"/>
    </row>
    <row r="34" spans="1:41" ht="24.75" x14ac:dyDescent="0.25">
      <c r="A34" s="289"/>
      <c r="B34" s="108" t="s">
        <v>166</v>
      </c>
      <c r="C34" s="108" t="s">
        <v>23</v>
      </c>
      <c r="D34" s="24">
        <f t="shared" si="17"/>
        <v>38.82</v>
      </c>
      <c r="E34" s="24">
        <f t="shared" si="29"/>
        <v>0</v>
      </c>
      <c r="F34" s="24">
        <f t="shared" si="29"/>
        <v>0</v>
      </c>
      <c r="G34" s="24">
        <f t="shared" si="29"/>
        <v>38.82</v>
      </c>
      <c r="H34" s="967"/>
      <c r="I34" s="967"/>
      <c r="J34" s="967"/>
      <c r="K34" s="967"/>
      <c r="L34" s="967">
        <f t="shared" si="28"/>
        <v>38.82</v>
      </c>
      <c r="M34" s="967"/>
      <c r="N34" s="897"/>
      <c r="O34" s="975">
        <v>38.82</v>
      </c>
      <c r="P34" s="967">
        <f t="shared" si="24"/>
        <v>0</v>
      </c>
      <c r="Q34" s="974"/>
      <c r="R34" s="967"/>
      <c r="S34" s="967"/>
      <c r="T34" s="24">
        <f t="shared" si="25"/>
        <v>0</v>
      </c>
      <c r="U34" s="249"/>
      <c r="V34" s="24"/>
      <c r="W34" s="24"/>
      <c r="X34" s="1019"/>
      <c r="Y34" s="1019"/>
      <c r="Z34" s="1019"/>
      <c r="AA34" s="1019"/>
      <c r="AB34" s="1019"/>
      <c r="AC34" s="1019"/>
      <c r="AD34" s="24">
        <f t="shared" si="26"/>
        <v>0</v>
      </c>
      <c r="AE34" s="459"/>
      <c r="AF34" s="459"/>
      <c r="AG34" s="459"/>
      <c r="AH34" s="1021">
        <f t="shared" si="27"/>
        <v>0</v>
      </c>
      <c r="AI34" s="1022"/>
      <c r="AJ34" s="1022"/>
      <c r="AK34" s="1022"/>
      <c r="AL34" s="1023"/>
      <c r="AM34" s="1023"/>
      <c r="AN34" s="1013"/>
      <c r="AO34" s="1013"/>
    </row>
    <row r="35" spans="1:41" ht="23.25" customHeight="1" x14ac:dyDescent="0.25">
      <c r="A35" s="289"/>
      <c r="B35" s="155" t="s">
        <v>173</v>
      </c>
      <c r="C35" s="108" t="s">
        <v>35</v>
      </c>
      <c r="D35" s="24">
        <f t="shared" si="17"/>
        <v>16</v>
      </c>
      <c r="E35" s="24">
        <f t="shared" si="29"/>
        <v>0</v>
      </c>
      <c r="F35" s="24">
        <f t="shared" si="29"/>
        <v>0</v>
      </c>
      <c r="G35" s="24">
        <f t="shared" si="29"/>
        <v>16</v>
      </c>
      <c r="H35" s="967"/>
      <c r="I35" s="967"/>
      <c r="J35" s="967"/>
      <c r="K35" s="967"/>
      <c r="L35" s="967">
        <f t="shared" si="28"/>
        <v>16</v>
      </c>
      <c r="M35" s="967"/>
      <c r="N35" s="897"/>
      <c r="O35" s="975">
        <v>16</v>
      </c>
      <c r="P35" s="967">
        <f t="shared" si="24"/>
        <v>0</v>
      </c>
      <c r="Q35" s="974"/>
      <c r="R35" s="967"/>
      <c r="S35" s="967"/>
      <c r="T35" s="24">
        <f t="shared" si="25"/>
        <v>0</v>
      </c>
      <c r="U35" s="249"/>
      <c r="V35" s="24"/>
      <c r="W35" s="24"/>
      <c r="X35" s="1019"/>
      <c r="Y35" s="1019"/>
      <c r="Z35" s="1019"/>
      <c r="AA35" s="1019"/>
      <c r="AB35" s="1019"/>
      <c r="AC35" s="1019"/>
      <c r="AD35" s="24">
        <f t="shared" si="26"/>
        <v>0</v>
      </c>
      <c r="AE35" s="459"/>
      <c r="AF35" s="459"/>
      <c r="AG35" s="459"/>
      <c r="AH35" s="1021">
        <f t="shared" si="27"/>
        <v>0</v>
      </c>
      <c r="AI35" s="1022"/>
      <c r="AJ35" s="1022"/>
      <c r="AK35" s="1022"/>
      <c r="AL35" s="1023"/>
      <c r="AM35" s="1023"/>
      <c r="AN35" s="1013"/>
      <c r="AO35" s="1013"/>
    </row>
    <row r="36" spans="1:41" ht="24.75" x14ac:dyDescent="0.25">
      <c r="A36" s="289"/>
      <c r="B36" s="108" t="s">
        <v>155</v>
      </c>
      <c r="C36" s="108" t="s">
        <v>35</v>
      </c>
      <c r="D36" s="24">
        <f t="shared" si="17"/>
        <v>92</v>
      </c>
      <c r="E36" s="24">
        <f t="shared" si="29"/>
        <v>0</v>
      </c>
      <c r="F36" s="24">
        <f t="shared" si="29"/>
        <v>0</v>
      </c>
      <c r="G36" s="24">
        <f t="shared" si="29"/>
        <v>92</v>
      </c>
      <c r="H36" s="967"/>
      <c r="I36" s="967"/>
      <c r="J36" s="967"/>
      <c r="K36" s="967"/>
      <c r="L36" s="967">
        <f t="shared" si="28"/>
        <v>92</v>
      </c>
      <c r="M36" s="967"/>
      <c r="N36" s="888"/>
      <c r="O36" s="967">
        <v>92</v>
      </c>
      <c r="P36" s="967">
        <f t="shared" si="24"/>
        <v>0</v>
      </c>
      <c r="Q36" s="974"/>
      <c r="R36" s="967"/>
      <c r="S36" s="967"/>
      <c r="T36" s="24">
        <f t="shared" si="25"/>
        <v>0</v>
      </c>
      <c r="U36" s="249"/>
      <c r="V36" s="24"/>
      <c r="W36" s="24"/>
      <c r="X36" s="1019"/>
      <c r="Y36" s="1019"/>
      <c r="Z36" s="1019"/>
      <c r="AA36" s="1019"/>
      <c r="AB36" s="1019"/>
      <c r="AC36" s="1019"/>
      <c r="AD36" s="24">
        <f t="shared" si="26"/>
        <v>0</v>
      </c>
      <c r="AE36" s="459"/>
      <c r="AF36" s="459"/>
      <c r="AG36" s="459"/>
      <c r="AH36" s="1021">
        <f t="shared" si="27"/>
        <v>0</v>
      </c>
      <c r="AI36" s="1022"/>
      <c r="AJ36" s="1022"/>
      <c r="AK36" s="1022"/>
      <c r="AL36" s="1023"/>
      <c r="AM36" s="1023"/>
      <c r="AN36" s="1013"/>
      <c r="AO36" s="1013"/>
    </row>
    <row r="37" spans="1:41" ht="48.75" x14ac:dyDescent="0.25">
      <c r="A37" s="289"/>
      <c r="B37" s="108" t="s">
        <v>158</v>
      </c>
      <c r="C37" s="108" t="s">
        <v>95</v>
      </c>
      <c r="D37" s="24">
        <f t="shared" si="17"/>
        <v>78</v>
      </c>
      <c r="E37" s="24">
        <f t="shared" si="29"/>
        <v>0</v>
      </c>
      <c r="F37" s="24">
        <f t="shared" si="29"/>
        <v>0</v>
      </c>
      <c r="G37" s="24">
        <f t="shared" si="29"/>
        <v>78</v>
      </c>
      <c r="H37" s="967"/>
      <c r="I37" s="967"/>
      <c r="J37" s="967"/>
      <c r="K37" s="967"/>
      <c r="L37" s="967">
        <f t="shared" si="28"/>
        <v>78</v>
      </c>
      <c r="M37" s="967"/>
      <c r="N37" s="888"/>
      <c r="O37" s="967">
        <v>78</v>
      </c>
      <c r="P37" s="967">
        <f t="shared" si="24"/>
        <v>0</v>
      </c>
      <c r="Q37" s="974"/>
      <c r="R37" s="967"/>
      <c r="S37" s="967"/>
      <c r="T37" s="24">
        <f t="shared" si="25"/>
        <v>0</v>
      </c>
      <c r="U37" s="249"/>
      <c r="V37" s="24"/>
      <c r="W37" s="24"/>
      <c r="X37" s="1019"/>
      <c r="Y37" s="1019"/>
      <c r="Z37" s="1019"/>
      <c r="AA37" s="1019"/>
      <c r="AB37" s="1019"/>
      <c r="AC37" s="1019"/>
      <c r="AD37" s="24">
        <f t="shared" si="26"/>
        <v>0</v>
      </c>
      <c r="AE37" s="459"/>
      <c r="AF37" s="459"/>
      <c r="AG37" s="459"/>
      <c r="AH37" s="1021">
        <f t="shared" si="27"/>
        <v>0</v>
      </c>
      <c r="AI37" s="1022"/>
      <c r="AJ37" s="1022"/>
      <c r="AK37" s="1022"/>
      <c r="AL37" s="1023"/>
      <c r="AM37" s="1023"/>
      <c r="AN37" s="1013"/>
      <c r="AO37" s="1013"/>
    </row>
    <row r="38" spans="1:41" ht="36.75" x14ac:dyDescent="0.25">
      <c r="A38" s="289"/>
      <c r="B38" s="155" t="s">
        <v>163</v>
      </c>
      <c r="C38" s="155" t="s">
        <v>95</v>
      </c>
      <c r="D38" s="24">
        <f t="shared" si="17"/>
        <v>772.37</v>
      </c>
      <c r="E38" s="24">
        <f t="shared" si="29"/>
        <v>0</v>
      </c>
      <c r="F38" s="24">
        <f t="shared" si="29"/>
        <v>0</v>
      </c>
      <c r="G38" s="24">
        <f t="shared" si="29"/>
        <v>772.37</v>
      </c>
      <c r="H38" s="976"/>
      <c r="I38" s="976"/>
      <c r="J38" s="976"/>
      <c r="K38" s="976"/>
      <c r="L38" s="967">
        <f t="shared" si="28"/>
        <v>772.37</v>
      </c>
      <c r="M38" s="976"/>
      <c r="N38" s="977"/>
      <c r="O38" s="978">
        <v>772.37</v>
      </c>
      <c r="P38" s="967">
        <f t="shared" si="24"/>
        <v>0</v>
      </c>
      <c r="Q38" s="974"/>
      <c r="R38" s="967"/>
      <c r="S38" s="967"/>
      <c r="T38" s="24">
        <f t="shared" si="25"/>
        <v>0</v>
      </c>
      <c r="U38" s="249"/>
      <c r="V38" s="24"/>
      <c r="W38" s="24"/>
      <c r="X38" s="1019"/>
      <c r="Y38" s="1019"/>
      <c r="Z38" s="1019"/>
      <c r="AA38" s="1019"/>
      <c r="AB38" s="1019"/>
      <c r="AC38" s="1019"/>
      <c r="AD38" s="24">
        <f t="shared" si="26"/>
        <v>0</v>
      </c>
      <c r="AE38" s="459"/>
      <c r="AF38" s="459"/>
      <c r="AG38" s="459"/>
      <c r="AH38" s="1021">
        <f t="shared" si="27"/>
        <v>0</v>
      </c>
      <c r="AI38" s="1022"/>
      <c r="AJ38" s="1022"/>
      <c r="AK38" s="1022"/>
      <c r="AL38" s="1023"/>
      <c r="AM38" s="1023"/>
      <c r="AN38" s="1013"/>
      <c r="AO38" s="1013"/>
    </row>
    <row r="39" spans="1:41" ht="36.75" x14ac:dyDescent="0.25">
      <c r="A39" s="289"/>
      <c r="B39" s="108" t="s">
        <v>146</v>
      </c>
      <c r="C39" s="108" t="s">
        <v>113</v>
      </c>
      <c r="D39" s="24">
        <f t="shared" si="17"/>
        <v>70</v>
      </c>
      <c r="E39" s="24">
        <f t="shared" si="29"/>
        <v>0</v>
      </c>
      <c r="F39" s="24">
        <f t="shared" si="29"/>
        <v>0</v>
      </c>
      <c r="G39" s="24">
        <f t="shared" si="29"/>
        <v>70</v>
      </c>
      <c r="H39" s="967"/>
      <c r="I39" s="967"/>
      <c r="J39" s="967"/>
      <c r="K39" s="967"/>
      <c r="L39" s="967">
        <f t="shared" si="28"/>
        <v>70</v>
      </c>
      <c r="M39" s="967"/>
      <c r="N39" s="897"/>
      <c r="O39" s="975">
        <v>70</v>
      </c>
      <c r="P39" s="967">
        <f t="shared" si="24"/>
        <v>0</v>
      </c>
      <c r="Q39" s="974"/>
      <c r="R39" s="967"/>
      <c r="S39" s="967"/>
      <c r="T39" s="24">
        <f t="shared" si="25"/>
        <v>0</v>
      </c>
      <c r="U39" s="249"/>
      <c r="V39" s="24"/>
      <c r="W39" s="24"/>
      <c r="X39" s="1019"/>
      <c r="Y39" s="1019"/>
      <c r="Z39" s="1019"/>
      <c r="AA39" s="1019"/>
      <c r="AB39" s="1019"/>
      <c r="AC39" s="1019"/>
      <c r="AD39" s="24">
        <f t="shared" si="26"/>
        <v>0</v>
      </c>
      <c r="AE39" s="459"/>
      <c r="AF39" s="459"/>
      <c r="AG39" s="459"/>
      <c r="AH39" s="1021">
        <f t="shared" si="27"/>
        <v>0</v>
      </c>
      <c r="AI39" s="1022"/>
      <c r="AJ39" s="1022"/>
      <c r="AK39" s="1022"/>
      <c r="AL39" s="1023"/>
      <c r="AM39" s="1023"/>
      <c r="AN39" s="1013"/>
      <c r="AO39" s="1013"/>
    </row>
    <row r="40" spans="1:41" ht="36.75" x14ac:dyDescent="0.25">
      <c r="A40" s="289"/>
      <c r="B40" s="108" t="s">
        <v>153</v>
      </c>
      <c r="C40" s="108" t="s">
        <v>99</v>
      </c>
      <c r="D40" s="24">
        <f t="shared" si="17"/>
        <v>130</v>
      </c>
      <c r="E40" s="24">
        <f t="shared" si="29"/>
        <v>0</v>
      </c>
      <c r="F40" s="24">
        <f t="shared" si="29"/>
        <v>0</v>
      </c>
      <c r="G40" s="24">
        <f t="shared" si="29"/>
        <v>130</v>
      </c>
      <c r="H40" s="967"/>
      <c r="I40" s="967"/>
      <c r="J40" s="967"/>
      <c r="K40" s="967"/>
      <c r="L40" s="967">
        <f t="shared" si="28"/>
        <v>130</v>
      </c>
      <c r="M40" s="967"/>
      <c r="N40" s="979"/>
      <c r="O40" s="975">
        <v>130</v>
      </c>
      <c r="P40" s="967">
        <f t="shared" si="24"/>
        <v>0</v>
      </c>
      <c r="Q40" s="979"/>
      <c r="R40" s="967"/>
      <c r="S40" s="967"/>
      <c r="T40" s="24">
        <f t="shared" si="25"/>
        <v>0</v>
      </c>
      <c r="U40" s="249"/>
      <c r="V40" s="24"/>
      <c r="W40" s="24"/>
      <c r="X40" s="1019"/>
      <c r="Y40" s="1019"/>
      <c r="Z40" s="1019"/>
      <c r="AA40" s="1019"/>
      <c r="AB40" s="1019"/>
      <c r="AC40" s="1019"/>
      <c r="AD40" s="24">
        <f t="shared" si="26"/>
        <v>0</v>
      </c>
      <c r="AE40" s="459"/>
      <c r="AF40" s="459"/>
      <c r="AG40" s="459"/>
      <c r="AH40" s="1021">
        <f t="shared" si="27"/>
        <v>0</v>
      </c>
      <c r="AI40" s="1022"/>
      <c r="AJ40" s="1022"/>
      <c r="AK40" s="1022"/>
      <c r="AL40" s="1023"/>
      <c r="AM40" s="1023"/>
      <c r="AN40" s="1013"/>
      <c r="AO40" s="1013"/>
    </row>
    <row r="41" spans="1:41" ht="24.75" x14ac:dyDescent="0.25">
      <c r="A41" s="292"/>
      <c r="B41" s="155" t="s">
        <v>155</v>
      </c>
      <c r="C41" s="155" t="s">
        <v>11</v>
      </c>
      <c r="D41" s="24">
        <f t="shared" si="17"/>
        <v>20.574000000000002</v>
      </c>
      <c r="E41" s="24">
        <f t="shared" si="29"/>
        <v>0</v>
      </c>
      <c r="F41" s="24">
        <f t="shared" si="29"/>
        <v>0</v>
      </c>
      <c r="G41" s="24">
        <f t="shared" si="29"/>
        <v>20.574000000000002</v>
      </c>
      <c r="H41" s="976"/>
      <c r="I41" s="976"/>
      <c r="J41" s="976"/>
      <c r="K41" s="976"/>
      <c r="L41" s="976">
        <f t="shared" si="28"/>
        <v>20.574000000000002</v>
      </c>
      <c r="M41" s="976"/>
      <c r="N41" s="979"/>
      <c r="O41" s="975">
        <v>20.574000000000002</v>
      </c>
      <c r="P41" s="967">
        <f t="shared" si="24"/>
        <v>0</v>
      </c>
      <c r="Q41" s="979"/>
      <c r="R41" s="967"/>
      <c r="S41" s="967"/>
      <c r="T41" s="24">
        <f t="shared" si="25"/>
        <v>0</v>
      </c>
      <c r="U41" s="24"/>
      <c r="V41" s="24"/>
      <c r="W41" s="24"/>
      <c r="X41" s="1019"/>
      <c r="Y41" s="1019"/>
      <c r="Z41" s="1019"/>
      <c r="AA41" s="1019"/>
      <c r="AB41" s="1019"/>
      <c r="AC41" s="1019"/>
      <c r="AD41" s="24">
        <f t="shared" si="26"/>
        <v>0</v>
      </c>
      <c r="AE41" s="459"/>
      <c r="AF41" s="459"/>
      <c r="AG41" s="459"/>
      <c r="AH41" s="1021">
        <f t="shared" si="27"/>
        <v>0</v>
      </c>
      <c r="AI41" s="1022"/>
      <c r="AJ41" s="1022"/>
      <c r="AK41" s="1022"/>
      <c r="AL41" s="1023"/>
      <c r="AM41" s="1023"/>
      <c r="AN41" s="1013"/>
      <c r="AO41" s="1013"/>
    </row>
    <row r="42" spans="1:41" ht="24.75" x14ac:dyDescent="0.25">
      <c r="A42" s="292"/>
      <c r="B42" s="155" t="s">
        <v>182</v>
      </c>
      <c r="C42" s="155" t="s">
        <v>11</v>
      </c>
      <c r="D42" s="24">
        <f t="shared" si="17"/>
        <v>3</v>
      </c>
      <c r="E42" s="24">
        <f t="shared" si="29"/>
        <v>0</v>
      </c>
      <c r="F42" s="24">
        <f t="shared" si="29"/>
        <v>0</v>
      </c>
      <c r="G42" s="24">
        <f t="shared" si="29"/>
        <v>3</v>
      </c>
      <c r="H42" s="976"/>
      <c r="I42" s="976"/>
      <c r="J42" s="976"/>
      <c r="K42" s="976"/>
      <c r="L42" s="976">
        <f t="shared" si="28"/>
        <v>3</v>
      </c>
      <c r="M42" s="976"/>
      <c r="N42" s="979"/>
      <c r="O42" s="975">
        <v>3</v>
      </c>
      <c r="P42" s="967">
        <f t="shared" si="24"/>
        <v>0</v>
      </c>
      <c r="Q42" s="979"/>
      <c r="R42" s="967"/>
      <c r="S42" s="967"/>
      <c r="T42" s="24">
        <f t="shared" si="25"/>
        <v>0</v>
      </c>
      <c r="U42" s="24"/>
      <c r="V42" s="24"/>
      <c r="W42" s="24"/>
      <c r="X42" s="1019"/>
      <c r="Y42" s="1019"/>
      <c r="Z42" s="1019"/>
      <c r="AA42" s="1019"/>
      <c r="AB42" s="1019"/>
      <c r="AC42" s="1019"/>
      <c r="AD42" s="24">
        <f t="shared" si="26"/>
        <v>0</v>
      </c>
      <c r="AE42" s="459"/>
      <c r="AF42" s="459"/>
      <c r="AG42" s="459"/>
      <c r="AH42" s="1021">
        <f t="shared" si="27"/>
        <v>0</v>
      </c>
      <c r="AI42" s="1022"/>
      <c r="AJ42" s="1022"/>
      <c r="AK42" s="1022"/>
      <c r="AL42" s="1023"/>
      <c r="AM42" s="1023"/>
      <c r="AN42" s="1013"/>
      <c r="AO42" s="1013"/>
    </row>
    <row r="43" spans="1:41" ht="24.75" x14ac:dyDescent="0.25">
      <c r="A43" s="292"/>
      <c r="B43" s="294" t="s">
        <v>184</v>
      </c>
      <c r="C43" s="155" t="s">
        <v>11</v>
      </c>
      <c r="D43" s="24">
        <f t="shared" si="17"/>
        <v>8.61</v>
      </c>
      <c r="E43" s="24">
        <f t="shared" si="29"/>
        <v>0</v>
      </c>
      <c r="F43" s="24">
        <f t="shared" si="29"/>
        <v>0</v>
      </c>
      <c r="G43" s="24">
        <f t="shared" si="29"/>
        <v>8.61</v>
      </c>
      <c r="H43" s="976"/>
      <c r="I43" s="976"/>
      <c r="J43" s="976"/>
      <c r="K43" s="976"/>
      <c r="L43" s="976">
        <f t="shared" si="28"/>
        <v>8.61</v>
      </c>
      <c r="M43" s="976"/>
      <c r="N43" s="979"/>
      <c r="O43" s="975">
        <v>8.61</v>
      </c>
      <c r="P43" s="967">
        <f t="shared" si="24"/>
        <v>0</v>
      </c>
      <c r="Q43" s="979"/>
      <c r="R43" s="967"/>
      <c r="S43" s="967"/>
      <c r="T43" s="24">
        <f t="shared" si="25"/>
        <v>0</v>
      </c>
      <c r="U43" s="24"/>
      <c r="V43" s="24"/>
      <c r="W43" s="24"/>
      <c r="X43" s="1019"/>
      <c r="Y43" s="1019"/>
      <c r="Z43" s="1019"/>
      <c r="AA43" s="1019"/>
      <c r="AB43" s="1019"/>
      <c r="AC43" s="1019"/>
      <c r="AD43" s="24">
        <f t="shared" si="26"/>
        <v>0</v>
      </c>
      <c r="AE43" s="459"/>
      <c r="AF43" s="459"/>
      <c r="AG43" s="459"/>
      <c r="AH43" s="1021">
        <f t="shared" si="27"/>
        <v>0</v>
      </c>
      <c r="AI43" s="1022"/>
      <c r="AJ43" s="1022"/>
      <c r="AK43" s="1022"/>
      <c r="AL43" s="1023"/>
      <c r="AM43" s="1023"/>
      <c r="AN43" s="1013"/>
      <c r="AO43" s="1013"/>
    </row>
    <row r="44" spans="1:41" ht="24.75" x14ac:dyDescent="0.25">
      <c r="A44" s="289"/>
      <c r="B44" s="108" t="s">
        <v>154</v>
      </c>
      <c r="C44" s="108" t="s">
        <v>27</v>
      </c>
      <c r="D44" s="24">
        <f t="shared" si="17"/>
        <v>72</v>
      </c>
      <c r="E44" s="24">
        <f t="shared" si="29"/>
        <v>0</v>
      </c>
      <c r="F44" s="24">
        <f t="shared" si="29"/>
        <v>0</v>
      </c>
      <c r="G44" s="24">
        <f t="shared" si="29"/>
        <v>72</v>
      </c>
      <c r="H44" s="967"/>
      <c r="I44" s="967"/>
      <c r="J44" s="967"/>
      <c r="K44" s="967"/>
      <c r="L44" s="967">
        <f t="shared" si="28"/>
        <v>72</v>
      </c>
      <c r="M44" s="967"/>
      <c r="N44" s="979"/>
      <c r="O44" s="975">
        <v>72</v>
      </c>
      <c r="P44" s="967">
        <f t="shared" si="24"/>
        <v>0</v>
      </c>
      <c r="Q44" s="979"/>
      <c r="R44" s="967"/>
      <c r="S44" s="967"/>
      <c r="T44" s="24">
        <f t="shared" si="25"/>
        <v>0</v>
      </c>
      <c r="U44" s="24"/>
      <c r="V44" s="24"/>
      <c r="W44" s="24"/>
      <c r="X44" s="1019"/>
      <c r="Y44" s="1019"/>
      <c r="Z44" s="1019"/>
      <c r="AA44" s="1019"/>
      <c r="AB44" s="1019"/>
      <c r="AC44" s="1019"/>
      <c r="AD44" s="24">
        <f t="shared" si="26"/>
        <v>0</v>
      </c>
      <c r="AE44" s="459"/>
      <c r="AF44" s="459"/>
      <c r="AG44" s="459"/>
      <c r="AH44" s="1021">
        <f t="shared" si="27"/>
        <v>0</v>
      </c>
      <c r="AI44" s="1022"/>
      <c r="AJ44" s="1022"/>
      <c r="AK44" s="1022"/>
      <c r="AL44" s="1023"/>
      <c r="AM44" s="1023"/>
      <c r="AN44" s="1013"/>
      <c r="AO44" s="1013"/>
    </row>
    <row r="45" spans="1:41" ht="24.75" x14ac:dyDescent="0.25">
      <c r="A45" s="289"/>
      <c r="B45" s="108" t="s">
        <v>284</v>
      </c>
      <c r="C45" s="108" t="s">
        <v>151</v>
      </c>
      <c r="D45" s="24">
        <f t="shared" si="17"/>
        <v>361.81</v>
      </c>
      <c r="E45" s="24">
        <f t="shared" si="29"/>
        <v>0</v>
      </c>
      <c r="F45" s="24">
        <f t="shared" si="29"/>
        <v>0</v>
      </c>
      <c r="G45" s="24">
        <f t="shared" si="29"/>
        <v>361.81</v>
      </c>
      <c r="H45" s="967"/>
      <c r="I45" s="967"/>
      <c r="J45" s="967"/>
      <c r="K45" s="967"/>
      <c r="L45" s="967"/>
      <c r="M45" s="967"/>
      <c r="N45" s="979"/>
      <c r="O45" s="975"/>
      <c r="P45" s="979">
        <f>Q45+R45+S45</f>
        <v>361.81</v>
      </c>
      <c r="Q45" s="979"/>
      <c r="R45" s="967"/>
      <c r="S45" s="967">
        <v>361.81</v>
      </c>
      <c r="T45" s="24">
        <f t="shared" si="25"/>
        <v>0</v>
      </c>
      <c r="U45" s="24"/>
      <c r="V45" s="24"/>
      <c r="W45" s="24"/>
      <c r="X45" s="1019"/>
      <c r="Y45" s="1019"/>
      <c r="Z45" s="1019"/>
      <c r="AA45" s="1019"/>
      <c r="AB45" s="1019"/>
      <c r="AC45" s="1019"/>
      <c r="AD45" s="24">
        <f t="shared" si="26"/>
        <v>0</v>
      </c>
      <c r="AE45" s="459"/>
      <c r="AF45" s="459"/>
      <c r="AG45" s="459"/>
      <c r="AH45" s="1021">
        <f t="shared" si="27"/>
        <v>0</v>
      </c>
      <c r="AI45" s="1022"/>
      <c r="AJ45" s="1022"/>
      <c r="AK45" s="1022"/>
      <c r="AL45" s="1023"/>
      <c r="AM45" s="1023"/>
      <c r="AN45" s="1013"/>
      <c r="AO45" s="1013"/>
    </row>
    <row r="46" spans="1:41" ht="24.75" x14ac:dyDescent="0.25">
      <c r="A46" s="289"/>
      <c r="B46" s="108" t="s">
        <v>354</v>
      </c>
      <c r="C46" s="108" t="s">
        <v>16</v>
      </c>
      <c r="D46" s="24">
        <f t="shared" si="17"/>
        <v>100</v>
      </c>
      <c r="E46" s="24">
        <f t="shared" si="29"/>
        <v>0</v>
      </c>
      <c r="F46" s="24">
        <f t="shared" si="29"/>
        <v>0</v>
      </c>
      <c r="G46" s="24">
        <f t="shared" si="29"/>
        <v>100</v>
      </c>
      <c r="H46" s="967"/>
      <c r="I46" s="967"/>
      <c r="J46" s="967"/>
      <c r="K46" s="967"/>
      <c r="L46" s="967"/>
      <c r="M46" s="967"/>
      <c r="N46" s="979"/>
      <c r="O46" s="975"/>
      <c r="P46" s="979">
        <f>Q46+R46+S46</f>
        <v>100</v>
      </c>
      <c r="Q46" s="979"/>
      <c r="R46" s="967"/>
      <c r="S46" s="967">
        <v>100</v>
      </c>
      <c r="T46" s="26">
        <f t="shared" si="25"/>
        <v>0</v>
      </c>
      <c r="U46" s="26"/>
      <c r="V46" s="26"/>
      <c r="W46" s="26"/>
      <c r="X46" s="262"/>
      <c r="Y46" s="262"/>
      <c r="Z46" s="262"/>
      <c r="AA46" s="262"/>
      <c r="AB46" s="262"/>
      <c r="AC46" s="262"/>
      <c r="AD46" s="26">
        <f t="shared" si="26"/>
        <v>0</v>
      </c>
      <c r="AE46" s="320"/>
      <c r="AF46" s="320"/>
      <c r="AG46" s="320"/>
      <c r="AH46" s="743">
        <f t="shared" si="27"/>
        <v>0</v>
      </c>
      <c r="AI46" s="692"/>
      <c r="AJ46" s="692"/>
      <c r="AK46" s="692"/>
      <c r="AL46" s="1013"/>
      <c r="AM46" s="1013"/>
      <c r="AN46" s="1013"/>
      <c r="AO46" s="1013"/>
    </row>
    <row r="47" spans="1:41" ht="24" x14ac:dyDescent="0.25">
      <c r="A47" s="289"/>
      <c r="B47" s="465" t="s">
        <v>441</v>
      </c>
      <c r="C47" s="155" t="s">
        <v>442</v>
      </c>
      <c r="D47" s="24">
        <f t="shared" si="17"/>
        <v>20</v>
      </c>
      <c r="E47" s="24">
        <f t="shared" si="29"/>
        <v>0</v>
      </c>
      <c r="F47" s="24">
        <f t="shared" si="29"/>
        <v>0</v>
      </c>
      <c r="G47" s="24">
        <f t="shared" si="29"/>
        <v>20</v>
      </c>
      <c r="H47" s="967"/>
      <c r="I47" s="967"/>
      <c r="J47" s="967"/>
      <c r="K47" s="967"/>
      <c r="L47" s="967"/>
      <c r="M47" s="967"/>
      <c r="N47" s="979"/>
      <c r="O47" s="975"/>
      <c r="P47" s="979">
        <f>Q47+R47+S47</f>
        <v>20</v>
      </c>
      <c r="Q47" s="979"/>
      <c r="R47" s="967"/>
      <c r="S47" s="967">
        <v>20</v>
      </c>
      <c r="T47" s="26">
        <f t="shared" si="25"/>
        <v>0</v>
      </c>
      <c r="U47" s="26"/>
      <c r="V47" s="26"/>
      <c r="W47" s="26"/>
      <c r="X47" s="262"/>
      <c r="Y47" s="262"/>
      <c r="Z47" s="262"/>
      <c r="AA47" s="262"/>
      <c r="AB47" s="262"/>
      <c r="AC47" s="262"/>
      <c r="AD47" s="26">
        <f t="shared" si="26"/>
        <v>0</v>
      </c>
      <c r="AE47" s="320"/>
      <c r="AF47" s="320"/>
      <c r="AG47" s="320"/>
      <c r="AH47" s="743">
        <f t="shared" si="27"/>
        <v>0</v>
      </c>
      <c r="AI47" s="692"/>
      <c r="AJ47" s="692"/>
      <c r="AK47" s="692"/>
      <c r="AL47" s="1013"/>
      <c r="AM47" s="1013"/>
      <c r="AN47" s="1013"/>
      <c r="AO47" s="1013"/>
    </row>
    <row r="48" spans="1:41" ht="24" customHeight="1" x14ac:dyDescent="0.25">
      <c r="A48" s="289"/>
      <c r="B48" s="465" t="s">
        <v>556</v>
      </c>
      <c r="C48" s="155" t="s">
        <v>555</v>
      </c>
      <c r="D48" s="24">
        <f t="shared" si="17"/>
        <v>30</v>
      </c>
      <c r="E48" s="24">
        <f t="shared" si="29"/>
        <v>0</v>
      </c>
      <c r="F48" s="24">
        <f t="shared" si="29"/>
        <v>0</v>
      </c>
      <c r="G48" s="24">
        <f t="shared" si="29"/>
        <v>30</v>
      </c>
      <c r="H48" s="967"/>
      <c r="I48" s="967"/>
      <c r="J48" s="967"/>
      <c r="K48" s="967"/>
      <c r="L48" s="967"/>
      <c r="M48" s="967"/>
      <c r="N48" s="979"/>
      <c r="O48" s="975"/>
      <c r="P48" s="979">
        <f t="shared" ref="P48:P49" si="30">Q48+R48+S48</f>
        <v>0</v>
      </c>
      <c r="Q48" s="979"/>
      <c r="R48" s="967"/>
      <c r="S48" s="967"/>
      <c r="T48" s="26">
        <f t="shared" si="25"/>
        <v>30</v>
      </c>
      <c r="U48" s="26"/>
      <c r="V48" s="26"/>
      <c r="W48" s="26">
        <v>30</v>
      </c>
      <c r="X48" s="262"/>
      <c r="Y48" s="262"/>
      <c r="Z48" s="262"/>
      <c r="AA48" s="262"/>
      <c r="AB48" s="262"/>
      <c r="AC48" s="262"/>
      <c r="AD48" s="26">
        <f t="shared" si="26"/>
        <v>0</v>
      </c>
      <c r="AE48" s="320"/>
      <c r="AF48" s="320"/>
      <c r="AG48" s="320"/>
      <c r="AH48" s="743">
        <f t="shared" si="27"/>
        <v>0</v>
      </c>
      <c r="AI48" s="692"/>
      <c r="AJ48" s="692"/>
      <c r="AK48" s="692"/>
      <c r="AL48" s="1013"/>
      <c r="AM48" s="1013"/>
      <c r="AN48" s="1013"/>
      <c r="AO48" s="1013"/>
    </row>
    <row r="49" spans="1:41" ht="15" x14ac:dyDescent="0.25">
      <c r="A49" s="289"/>
      <c r="B49" s="465" t="s">
        <v>567</v>
      </c>
      <c r="C49" s="155" t="s">
        <v>566</v>
      </c>
      <c r="D49" s="24">
        <f t="shared" si="17"/>
        <v>600</v>
      </c>
      <c r="E49" s="24">
        <f t="shared" si="29"/>
        <v>0</v>
      </c>
      <c r="F49" s="24">
        <f t="shared" si="29"/>
        <v>0</v>
      </c>
      <c r="G49" s="24">
        <f t="shared" si="29"/>
        <v>600</v>
      </c>
      <c r="H49" s="967"/>
      <c r="I49" s="967"/>
      <c r="J49" s="967"/>
      <c r="K49" s="967"/>
      <c r="L49" s="967"/>
      <c r="M49" s="967"/>
      <c r="N49" s="979"/>
      <c r="O49" s="975"/>
      <c r="P49" s="979">
        <f t="shared" si="30"/>
        <v>600</v>
      </c>
      <c r="Q49" s="979"/>
      <c r="R49" s="967"/>
      <c r="S49" s="967">
        <v>600</v>
      </c>
      <c r="T49" s="26">
        <f t="shared" si="25"/>
        <v>0</v>
      </c>
      <c r="U49" s="26"/>
      <c r="V49" s="26"/>
      <c r="W49" s="26"/>
      <c r="X49" s="262"/>
      <c r="Y49" s="262"/>
      <c r="Z49" s="262"/>
      <c r="AA49" s="262"/>
      <c r="AB49" s="262"/>
      <c r="AC49" s="262"/>
      <c r="AD49" s="26">
        <f t="shared" si="26"/>
        <v>0</v>
      </c>
      <c r="AE49" s="320"/>
      <c r="AF49" s="320"/>
      <c r="AG49" s="320"/>
      <c r="AH49" s="743">
        <f t="shared" si="27"/>
        <v>0</v>
      </c>
      <c r="AI49" s="692"/>
      <c r="AJ49" s="692"/>
      <c r="AK49" s="692"/>
      <c r="AL49" s="1013"/>
      <c r="AM49" s="1013"/>
      <c r="AN49" s="1013"/>
      <c r="AO49" s="1013"/>
    </row>
    <row r="50" spans="1:41" ht="24.75" x14ac:dyDescent="0.25">
      <c r="A50" s="289"/>
      <c r="B50" s="465" t="s">
        <v>626</v>
      </c>
      <c r="C50" s="155" t="s">
        <v>465</v>
      </c>
      <c r="D50" s="24">
        <f t="shared" si="17"/>
        <v>42.2</v>
      </c>
      <c r="E50" s="24">
        <f t="shared" si="29"/>
        <v>0</v>
      </c>
      <c r="F50" s="24">
        <f t="shared" si="29"/>
        <v>0</v>
      </c>
      <c r="G50" s="24">
        <f t="shared" si="29"/>
        <v>42.2</v>
      </c>
      <c r="H50" s="967"/>
      <c r="I50" s="967"/>
      <c r="J50" s="967"/>
      <c r="K50" s="967"/>
      <c r="L50" s="967"/>
      <c r="M50" s="967"/>
      <c r="N50" s="979"/>
      <c r="O50" s="975"/>
      <c r="P50" s="979"/>
      <c r="Q50" s="979"/>
      <c r="R50" s="967"/>
      <c r="S50" s="967"/>
      <c r="T50" s="26">
        <f t="shared" si="25"/>
        <v>42.2</v>
      </c>
      <c r="U50" s="26"/>
      <c r="V50" s="26"/>
      <c r="W50" s="26">
        <v>42.2</v>
      </c>
      <c r="X50" s="262"/>
      <c r="Y50" s="262"/>
      <c r="Z50" s="262"/>
      <c r="AA50" s="262"/>
      <c r="AB50" s="262"/>
      <c r="AC50" s="262"/>
      <c r="AD50" s="26">
        <f t="shared" si="26"/>
        <v>0</v>
      </c>
      <c r="AE50" s="320"/>
      <c r="AF50" s="320"/>
      <c r="AG50" s="320"/>
      <c r="AH50" s="743">
        <f t="shared" si="27"/>
        <v>0</v>
      </c>
      <c r="AI50" s="692"/>
      <c r="AJ50" s="692"/>
      <c r="AK50" s="692"/>
      <c r="AL50" s="1013"/>
      <c r="AM50" s="1013"/>
      <c r="AN50" s="1013"/>
      <c r="AO50" s="1013"/>
    </row>
    <row r="51" spans="1:41" ht="51.6" customHeight="1" x14ac:dyDescent="0.2">
      <c r="A51" s="234" t="s">
        <v>54</v>
      </c>
      <c r="B51" s="161" t="s">
        <v>300</v>
      </c>
      <c r="C51" s="161"/>
      <c r="D51" s="253">
        <f>E51+F51+G51</f>
        <v>41969.808010000008</v>
      </c>
      <c r="E51" s="253">
        <f t="shared" si="29"/>
        <v>0</v>
      </c>
      <c r="F51" s="253">
        <f t="shared" si="29"/>
        <v>35.194000000000003</v>
      </c>
      <c r="G51" s="253">
        <f>K51+O51+S51+W51+AG51+AK51+AO51</f>
        <v>41934.614010000005</v>
      </c>
      <c r="H51" s="980">
        <f>SUM(H52:H89)</f>
        <v>3687.6299999999997</v>
      </c>
      <c r="I51" s="980">
        <f>SUM(I52:I89)</f>
        <v>0</v>
      </c>
      <c r="J51" s="980">
        <f>SUM(J52:J89)</f>
        <v>0</v>
      </c>
      <c r="K51" s="980">
        <f>SUM(K52:K89)</f>
        <v>3687.6299999999997</v>
      </c>
      <c r="L51" s="980">
        <f>SUM(L52:L91)</f>
        <v>2581.7049999999999</v>
      </c>
      <c r="M51" s="980">
        <f>SUM(M52:M89)</f>
        <v>0</v>
      </c>
      <c r="N51" s="980">
        <f>SUM(N52:N89)</f>
        <v>35.194000000000003</v>
      </c>
      <c r="O51" s="980">
        <f>SUM(O52:O91)</f>
        <v>2546.511</v>
      </c>
      <c r="P51" s="981">
        <f>Q51+R51+S51</f>
        <v>2615.0014400000005</v>
      </c>
      <c r="Q51" s="980">
        <f t="shared" ref="Q51:R51" si="31">SUM(Q52:Q108)</f>
        <v>0</v>
      </c>
      <c r="R51" s="980">
        <f t="shared" si="31"/>
        <v>0</v>
      </c>
      <c r="S51" s="980">
        <f>SUM(S52:S108)</f>
        <v>2615.0014400000005</v>
      </c>
      <c r="T51" s="744">
        <f>U51+V51+W51</f>
        <v>5479.1705700000011</v>
      </c>
      <c r="U51" s="253">
        <f t="shared" ref="U51:V51" si="32">SUM(U52:U108)</f>
        <v>0</v>
      </c>
      <c r="V51" s="253">
        <f t="shared" si="32"/>
        <v>0</v>
      </c>
      <c r="W51" s="253">
        <f>SUM(W52:W130)</f>
        <v>5479.1705700000011</v>
      </c>
      <c r="X51" s="253">
        <f t="shared" ref="X51:AC51" si="33">SUM(X52:X89)</f>
        <v>0</v>
      </c>
      <c r="Y51" s="253">
        <f t="shared" si="33"/>
        <v>0</v>
      </c>
      <c r="Z51" s="253">
        <f t="shared" si="33"/>
        <v>0</v>
      </c>
      <c r="AA51" s="253">
        <f t="shared" si="33"/>
        <v>0</v>
      </c>
      <c r="AB51" s="253">
        <f t="shared" si="33"/>
        <v>0</v>
      </c>
      <c r="AC51" s="253">
        <f t="shared" si="33"/>
        <v>0</v>
      </c>
      <c r="AD51" s="287">
        <f>AE51+AF51+AG51</f>
        <v>9221.7999999999993</v>
      </c>
      <c r="AE51" s="253">
        <f t="shared" ref="AE51:AF51" si="34">SUM(AE52:AE130)</f>
        <v>0</v>
      </c>
      <c r="AF51" s="253">
        <f t="shared" si="34"/>
        <v>0</v>
      </c>
      <c r="AG51" s="253">
        <f>SUM(AG52:AG133)</f>
        <v>9221.7999999999993</v>
      </c>
      <c r="AH51" s="745">
        <f t="shared" si="27"/>
        <v>5291.06</v>
      </c>
      <c r="AI51" s="253">
        <f t="shared" ref="AI51:AJ51" si="35">SUM(AI52:AI130)</f>
        <v>0</v>
      </c>
      <c r="AJ51" s="253">
        <f t="shared" si="35"/>
        <v>0</v>
      </c>
      <c r="AK51" s="253">
        <v>5291.06</v>
      </c>
      <c r="AL51" s="1017">
        <f>AM51+AN51+AO51</f>
        <v>13093.441000000001</v>
      </c>
      <c r="AM51" s="253">
        <f t="shared" ref="AM51:AN51" si="36">SUM(AM52:AM130)</f>
        <v>0</v>
      </c>
      <c r="AN51" s="253">
        <f t="shared" si="36"/>
        <v>0</v>
      </c>
      <c r="AO51" s="253">
        <v>13093.441000000001</v>
      </c>
    </row>
    <row r="52" spans="1:41" ht="15" x14ac:dyDescent="0.25">
      <c r="A52" s="289"/>
      <c r="B52" s="108" t="s">
        <v>30</v>
      </c>
      <c r="C52" s="108" t="s">
        <v>29</v>
      </c>
      <c r="D52" s="26">
        <f>E52+F52+G52</f>
        <v>136.06100000000001</v>
      </c>
      <c r="E52" s="26">
        <f t="shared" si="29"/>
        <v>0</v>
      </c>
      <c r="F52" s="26">
        <f t="shared" si="29"/>
        <v>0</v>
      </c>
      <c r="G52" s="26">
        <f t="shared" si="29"/>
        <v>136.06100000000001</v>
      </c>
      <c r="H52" s="967">
        <f>I52+J52+K52</f>
        <v>136.06100000000001</v>
      </c>
      <c r="I52" s="967"/>
      <c r="J52" s="967"/>
      <c r="K52" s="967">
        <f>250-113.939</f>
        <v>136.06100000000001</v>
      </c>
      <c r="L52" s="967"/>
      <c r="M52" s="967"/>
      <c r="N52" s="979"/>
      <c r="O52" s="979"/>
      <c r="P52" s="982"/>
      <c r="Q52" s="982"/>
      <c r="R52" s="967"/>
      <c r="S52" s="967"/>
      <c r="T52" s="26"/>
      <c r="U52" s="26"/>
      <c r="V52" s="26"/>
      <c r="W52" s="26"/>
      <c r="X52" s="262"/>
      <c r="Y52" s="262"/>
      <c r="Z52" s="262"/>
      <c r="AA52" s="262"/>
      <c r="AB52" s="262"/>
      <c r="AC52" s="262"/>
      <c r="AD52" s="320"/>
      <c r="AE52" s="320"/>
      <c r="AF52" s="320"/>
      <c r="AG52" s="320"/>
      <c r="AH52" s="692"/>
      <c r="AI52" s="692"/>
      <c r="AJ52" s="692"/>
      <c r="AK52" s="692"/>
      <c r="AL52" s="1013"/>
      <c r="AM52" s="1013"/>
      <c r="AN52" s="1013"/>
      <c r="AO52" s="1013"/>
    </row>
    <row r="53" spans="1:41" ht="15" x14ac:dyDescent="0.25">
      <c r="A53" s="289"/>
      <c r="B53" s="108" t="s">
        <v>30</v>
      </c>
      <c r="C53" s="108" t="s">
        <v>32</v>
      </c>
      <c r="D53" s="26">
        <f t="shared" ref="D53:D116" si="37">E53+F53+G53</f>
        <v>107.739</v>
      </c>
      <c r="E53" s="26">
        <f t="shared" si="29"/>
        <v>0</v>
      </c>
      <c r="F53" s="26">
        <f t="shared" si="29"/>
        <v>0</v>
      </c>
      <c r="G53" s="26">
        <f t="shared" si="29"/>
        <v>107.739</v>
      </c>
      <c r="H53" s="967">
        <f>I53+J53+K53</f>
        <v>107.739</v>
      </c>
      <c r="I53" s="967"/>
      <c r="J53" s="967"/>
      <c r="K53" s="967">
        <v>107.739</v>
      </c>
      <c r="L53" s="967"/>
      <c r="M53" s="967"/>
      <c r="N53" s="979"/>
      <c r="O53" s="979"/>
      <c r="P53" s="982"/>
      <c r="Q53" s="982"/>
      <c r="R53" s="967"/>
      <c r="S53" s="967"/>
      <c r="T53" s="26"/>
      <c r="U53" s="26"/>
      <c r="V53" s="26"/>
      <c r="W53" s="26"/>
      <c r="X53" s="262"/>
      <c r="Y53" s="262"/>
      <c r="Z53" s="262"/>
      <c r="AA53" s="262"/>
      <c r="AB53" s="262"/>
      <c r="AC53" s="262"/>
      <c r="AD53" s="320"/>
      <c r="AE53" s="320"/>
      <c r="AF53" s="320"/>
      <c r="AG53" s="320"/>
      <c r="AH53" s="692"/>
      <c r="AI53" s="692"/>
      <c r="AJ53" s="692"/>
      <c r="AK53" s="692"/>
      <c r="AL53" s="1013"/>
      <c r="AM53" s="1013"/>
      <c r="AN53" s="1013"/>
      <c r="AO53" s="1013"/>
    </row>
    <row r="54" spans="1:41" ht="15" x14ac:dyDescent="0.25">
      <c r="A54" s="289"/>
      <c r="B54" s="108" t="s">
        <v>30</v>
      </c>
      <c r="C54" s="108" t="s">
        <v>70</v>
      </c>
      <c r="D54" s="26">
        <f t="shared" si="37"/>
        <v>136.06100000000001</v>
      </c>
      <c r="E54" s="26">
        <f t="shared" si="29"/>
        <v>0</v>
      </c>
      <c r="F54" s="26">
        <f t="shared" si="29"/>
        <v>0</v>
      </c>
      <c r="G54" s="26">
        <f t="shared" si="29"/>
        <v>136.06100000000001</v>
      </c>
      <c r="H54" s="967">
        <f>I54+J54+K54</f>
        <v>136.06100000000001</v>
      </c>
      <c r="I54" s="967"/>
      <c r="J54" s="967"/>
      <c r="K54" s="967">
        <f>250-113.939</f>
        <v>136.06100000000001</v>
      </c>
      <c r="L54" s="967"/>
      <c r="M54" s="967"/>
      <c r="N54" s="979"/>
      <c r="O54" s="979"/>
      <c r="P54" s="982"/>
      <c r="Q54" s="982"/>
      <c r="R54" s="967"/>
      <c r="S54" s="967"/>
      <c r="T54" s="26"/>
      <c r="U54" s="26"/>
      <c r="V54" s="26"/>
      <c r="W54" s="26"/>
      <c r="X54" s="262"/>
      <c r="Y54" s="262"/>
      <c r="Z54" s="262"/>
      <c r="AA54" s="262"/>
      <c r="AB54" s="262"/>
      <c r="AC54" s="262"/>
      <c r="AD54" s="320"/>
      <c r="AE54" s="320"/>
      <c r="AF54" s="320"/>
      <c r="AG54" s="320"/>
      <c r="AH54" s="692"/>
      <c r="AI54" s="692"/>
      <c r="AJ54" s="692"/>
      <c r="AK54" s="692"/>
      <c r="AL54" s="1013"/>
      <c r="AM54" s="1013"/>
      <c r="AN54" s="1013"/>
      <c r="AO54" s="1013"/>
    </row>
    <row r="55" spans="1:41" ht="60.75" x14ac:dyDescent="0.25">
      <c r="A55" s="289"/>
      <c r="B55" s="108" t="s">
        <v>128</v>
      </c>
      <c r="C55" s="108" t="s">
        <v>103</v>
      </c>
      <c r="D55" s="24">
        <f t="shared" si="37"/>
        <v>150</v>
      </c>
      <c r="E55" s="24">
        <f t="shared" si="29"/>
        <v>0</v>
      </c>
      <c r="F55" s="24">
        <f t="shared" si="29"/>
        <v>0</v>
      </c>
      <c r="G55" s="24">
        <f t="shared" si="29"/>
        <v>150</v>
      </c>
      <c r="H55" s="967"/>
      <c r="I55" s="967"/>
      <c r="J55" s="967"/>
      <c r="K55" s="967"/>
      <c r="L55" s="967">
        <f>M55+N55+O55</f>
        <v>150</v>
      </c>
      <c r="M55" s="967"/>
      <c r="N55" s="979"/>
      <c r="O55" s="975">
        <v>150</v>
      </c>
      <c r="P55" s="982"/>
      <c r="Q55" s="982"/>
      <c r="R55" s="967"/>
      <c r="S55" s="967"/>
      <c r="T55" s="26"/>
      <c r="U55" s="26"/>
      <c r="V55" s="26"/>
      <c r="W55" s="26"/>
      <c r="X55" s="262"/>
      <c r="Y55" s="262"/>
      <c r="Z55" s="262"/>
      <c r="AA55" s="262"/>
      <c r="AB55" s="262"/>
      <c r="AC55" s="262"/>
      <c r="AD55" s="320"/>
      <c r="AE55" s="320"/>
      <c r="AF55" s="320"/>
      <c r="AG55" s="320"/>
      <c r="AH55" s="692"/>
      <c r="AI55" s="692"/>
      <c r="AJ55" s="692"/>
      <c r="AK55" s="692"/>
      <c r="AL55" s="1013"/>
      <c r="AM55" s="1013"/>
      <c r="AN55" s="1013"/>
      <c r="AO55" s="1013"/>
    </row>
    <row r="56" spans="1:41" ht="24" customHeight="1" x14ac:dyDescent="0.25">
      <c r="A56" s="289"/>
      <c r="B56" s="108" t="s">
        <v>314</v>
      </c>
      <c r="C56" s="746" t="s">
        <v>315</v>
      </c>
      <c r="D56" s="24">
        <f t="shared" si="37"/>
        <v>35.194000000000003</v>
      </c>
      <c r="E56" s="24">
        <f t="shared" si="29"/>
        <v>0</v>
      </c>
      <c r="F56" s="24">
        <f t="shared" si="29"/>
        <v>35.194000000000003</v>
      </c>
      <c r="G56" s="24">
        <f t="shared" si="29"/>
        <v>0</v>
      </c>
      <c r="H56" s="967"/>
      <c r="I56" s="967"/>
      <c r="J56" s="967"/>
      <c r="K56" s="967"/>
      <c r="L56" s="967">
        <f>M56+N56+O56</f>
        <v>35.194000000000003</v>
      </c>
      <c r="M56" s="967"/>
      <c r="N56" s="979">
        <v>35.194000000000003</v>
      </c>
      <c r="O56" s="975"/>
      <c r="P56" s="982"/>
      <c r="Q56" s="982"/>
      <c r="R56" s="967"/>
      <c r="S56" s="967"/>
      <c r="T56" s="26"/>
      <c r="U56" s="26"/>
      <c r="V56" s="26"/>
      <c r="W56" s="26"/>
      <c r="X56" s="262"/>
      <c r="Y56" s="262"/>
      <c r="Z56" s="262"/>
      <c r="AA56" s="262"/>
      <c r="AB56" s="262"/>
      <c r="AC56" s="262"/>
      <c r="AD56" s="320"/>
      <c r="AE56" s="320"/>
      <c r="AF56" s="320"/>
      <c r="AG56" s="320"/>
      <c r="AH56" s="692"/>
      <c r="AI56" s="692"/>
      <c r="AJ56" s="692"/>
      <c r="AK56" s="692"/>
      <c r="AL56" s="1013"/>
      <c r="AM56" s="1013"/>
      <c r="AN56" s="1013"/>
      <c r="AO56" s="1013"/>
    </row>
    <row r="57" spans="1:41" ht="15" x14ac:dyDescent="0.25">
      <c r="A57" s="289"/>
      <c r="B57" s="108" t="s">
        <v>105</v>
      </c>
      <c r="C57" s="108" t="s">
        <v>103</v>
      </c>
      <c r="D57" s="24">
        <f t="shared" si="37"/>
        <v>0</v>
      </c>
      <c r="E57" s="24">
        <f t="shared" si="29"/>
        <v>0</v>
      </c>
      <c r="F57" s="24">
        <f t="shared" si="29"/>
        <v>0</v>
      </c>
      <c r="G57" s="24">
        <f t="shared" si="29"/>
        <v>0</v>
      </c>
      <c r="H57" s="967"/>
      <c r="I57" s="967"/>
      <c r="J57" s="967"/>
      <c r="K57" s="967"/>
      <c r="L57" s="967"/>
      <c r="M57" s="967"/>
      <c r="N57" s="979"/>
      <c r="O57" s="975"/>
      <c r="P57" s="975">
        <f>Q57+R57+S57</f>
        <v>0</v>
      </c>
      <c r="Q57" s="975"/>
      <c r="R57" s="967"/>
      <c r="S57" s="967"/>
      <c r="T57" s="26"/>
      <c r="U57" s="26"/>
      <c r="V57" s="26"/>
      <c r="W57" s="26"/>
      <c r="X57" s="262"/>
      <c r="Y57" s="262"/>
      <c r="Z57" s="262"/>
      <c r="AA57" s="262"/>
      <c r="AB57" s="262"/>
      <c r="AC57" s="262"/>
      <c r="AD57" s="320"/>
      <c r="AE57" s="320"/>
      <c r="AF57" s="320"/>
      <c r="AG57" s="320"/>
      <c r="AH57" s="692"/>
      <c r="AI57" s="692"/>
      <c r="AJ57" s="692"/>
      <c r="AK57" s="692"/>
      <c r="AL57" s="1013"/>
      <c r="AM57" s="1013"/>
      <c r="AN57" s="1013"/>
      <c r="AO57" s="1013"/>
    </row>
    <row r="58" spans="1:41" ht="15" x14ac:dyDescent="0.25">
      <c r="A58" s="153"/>
      <c r="B58" s="74" t="s">
        <v>36</v>
      </c>
      <c r="C58" s="74" t="s">
        <v>31</v>
      </c>
      <c r="D58" s="24">
        <f t="shared" si="37"/>
        <v>788.1</v>
      </c>
      <c r="E58" s="24">
        <f t="shared" si="29"/>
        <v>0</v>
      </c>
      <c r="F58" s="24">
        <f t="shared" si="29"/>
        <v>0</v>
      </c>
      <c r="G58" s="24">
        <f t="shared" si="29"/>
        <v>788.1</v>
      </c>
      <c r="H58" s="968">
        <f>I58+J58+K58</f>
        <v>788.1</v>
      </c>
      <c r="I58" s="968"/>
      <c r="J58" s="968"/>
      <c r="K58" s="968">
        <v>788.1</v>
      </c>
      <c r="L58" s="968"/>
      <c r="M58" s="968"/>
      <c r="N58" s="983"/>
      <c r="O58" s="973"/>
      <c r="P58" s="973"/>
      <c r="Q58" s="973"/>
      <c r="R58" s="968"/>
      <c r="S58" s="968"/>
      <c r="T58" s="24"/>
      <c r="U58" s="24"/>
      <c r="V58" s="24"/>
      <c r="W58" s="24"/>
      <c r="X58" s="243"/>
      <c r="Y58" s="243"/>
      <c r="Z58" s="243"/>
      <c r="AA58" s="243"/>
      <c r="AB58" s="243"/>
      <c r="AC58" s="243"/>
      <c r="AD58" s="16"/>
      <c r="AE58" s="16"/>
      <c r="AF58" s="16"/>
      <c r="AG58" s="16"/>
      <c r="AH58" s="422"/>
      <c r="AI58" s="422"/>
      <c r="AJ58" s="422"/>
      <c r="AK58" s="422"/>
      <c r="AL58" s="1013"/>
      <c r="AM58" s="1013"/>
      <c r="AN58" s="1013"/>
      <c r="AO58" s="1013"/>
    </row>
    <row r="59" spans="1:41" ht="39" customHeight="1" x14ac:dyDescent="0.25">
      <c r="A59" s="153"/>
      <c r="B59" s="74" t="s">
        <v>36</v>
      </c>
      <c r="C59" s="74" t="s">
        <v>21</v>
      </c>
      <c r="D59" s="24">
        <f t="shared" si="37"/>
        <v>0</v>
      </c>
      <c r="E59" s="24">
        <f t="shared" si="29"/>
        <v>0</v>
      </c>
      <c r="F59" s="24">
        <f t="shared" si="29"/>
        <v>0</v>
      </c>
      <c r="G59" s="24">
        <f t="shared" si="29"/>
        <v>0</v>
      </c>
      <c r="H59" s="968"/>
      <c r="I59" s="968"/>
      <c r="J59" s="968"/>
      <c r="K59" s="968"/>
      <c r="L59" s="968"/>
      <c r="M59" s="968"/>
      <c r="N59" s="983"/>
      <c r="O59" s="983"/>
      <c r="P59" s="984"/>
      <c r="Q59" s="984"/>
      <c r="R59" s="968"/>
      <c r="S59" s="968"/>
      <c r="T59" s="24"/>
      <c r="U59" s="24"/>
      <c r="V59" s="24"/>
      <c r="W59" s="24"/>
      <c r="X59" s="243"/>
      <c r="Y59" s="243"/>
      <c r="Z59" s="243"/>
      <c r="AA59" s="243"/>
      <c r="AB59" s="243"/>
      <c r="AC59" s="243"/>
      <c r="AD59" s="16"/>
      <c r="AE59" s="16"/>
      <c r="AF59" s="16"/>
      <c r="AG59" s="16"/>
      <c r="AH59" s="422"/>
      <c r="AI59" s="422"/>
      <c r="AJ59" s="422"/>
      <c r="AK59" s="422"/>
      <c r="AL59" s="1013"/>
      <c r="AM59" s="1013"/>
      <c r="AN59" s="1013"/>
      <c r="AO59" s="1013"/>
    </row>
    <row r="60" spans="1:41" ht="30.6" customHeight="1" x14ac:dyDescent="0.25">
      <c r="A60" s="153"/>
      <c r="B60" s="74" t="s">
        <v>129</v>
      </c>
      <c r="C60" s="74" t="s">
        <v>21</v>
      </c>
      <c r="D60" s="24">
        <f t="shared" si="37"/>
        <v>170</v>
      </c>
      <c r="E60" s="24">
        <f t="shared" si="29"/>
        <v>0</v>
      </c>
      <c r="F60" s="24">
        <f t="shared" si="29"/>
        <v>0</v>
      </c>
      <c r="G60" s="24">
        <f t="shared" si="29"/>
        <v>170</v>
      </c>
      <c r="H60" s="968"/>
      <c r="I60" s="968"/>
      <c r="J60" s="968"/>
      <c r="K60" s="968"/>
      <c r="L60" s="968">
        <f>M60+N60+O60</f>
        <v>170</v>
      </c>
      <c r="M60" s="968"/>
      <c r="N60" s="983"/>
      <c r="O60" s="973">
        <v>170</v>
      </c>
      <c r="P60" s="984"/>
      <c r="Q60" s="984"/>
      <c r="R60" s="968"/>
      <c r="S60" s="968"/>
      <c r="T60" s="24"/>
      <c r="U60" s="24"/>
      <c r="V60" s="24"/>
      <c r="W60" s="24"/>
      <c r="X60" s="243"/>
      <c r="Y60" s="243"/>
      <c r="Z60" s="243"/>
      <c r="AA60" s="243"/>
      <c r="AB60" s="243"/>
      <c r="AC60" s="243"/>
      <c r="AD60" s="16"/>
      <c r="AE60" s="16"/>
      <c r="AF60" s="16"/>
      <c r="AG60" s="16"/>
      <c r="AH60" s="422"/>
      <c r="AI60" s="422"/>
      <c r="AJ60" s="422"/>
      <c r="AK60" s="422"/>
      <c r="AL60" s="1013"/>
      <c r="AM60" s="1013"/>
      <c r="AN60" s="1013"/>
      <c r="AO60" s="1013"/>
    </row>
    <row r="61" spans="1:41" ht="24.75" x14ac:dyDescent="0.25">
      <c r="A61" s="153"/>
      <c r="B61" s="74" t="s">
        <v>36</v>
      </c>
      <c r="C61" s="74" t="s">
        <v>22</v>
      </c>
      <c r="D61" s="24">
        <f t="shared" si="37"/>
        <v>0</v>
      </c>
      <c r="E61" s="24">
        <f t="shared" si="29"/>
        <v>0</v>
      </c>
      <c r="F61" s="24">
        <f t="shared" si="29"/>
        <v>0</v>
      </c>
      <c r="G61" s="24">
        <f t="shared" si="29"/>
        <v>0</v>
      </c>
      <c r="H61" s="968"/>
      <c r="I61" s="968"/>
      <c r="J61" s="968"/>
      <c r="K61" s="968"/>
      <c r="L61" s="968">
        <f t="shared" ref="L61:L68" si="38">M61+N61+O61</f>
        <v>0</v>
      </c>
      <c r="M61" s="968"/>
      <c r="N61" s="983"/>
      <c r="O61" s="983"/>
      <c r="P61" s="973">
        <f>Q61+R61+S61</f>
        <v>0</v>
      </c>
      <c r="Q61" s="973"/>
      <c r="R61" s="968"/>
      <c r="S61" s="968"/>
      <c r="T61" s="24"/>
      <c r="U61" s="24"/>
      <c r="V61" s="24"/>
      <c r="W61" s="24"/>
      <c r="X61" s="243"/>
      <c r="Y61" s="243"/>
      <c r="Z61" s="243"/>
      <c r="AA61" s="243"/>
      <c r="AB61" s="243"/>
      <c r="AC61" s="243"/>
      <c r="AD61" s="16"/>
      <c r="AE61" s="16"/>
      <c r="AF61" s="16"/>
      <c r="AG61" s="16"/>
      <c r="AH61" s="422"/>
      <c r="AI61" s="422"/>
      <c r="AJ61" s="422"/>
      <c r="AK61" s="422"/>
      <c r="AL61" s="1013"/>
      <c r="AM61" s="1013"/>
      <c r="AN61" s="1013"/>
      <c r="AO61" s="1013"/>
    </row>
    <row r="62" spans="1:41" ht="15" x14ac:dyDescent="0.25">
      <c r="A62" s="153"/>
      <c r="B62" s="154" t="s">
        <v>36</v>
      </c>
      <c r="C62" s="154" t="s">
        <v>20</v>
      </c>
      <c r="D62" s="24">
        <f t="shared" si="37"/>
        <v>735.1</v>
      </c>
      <c r="E62" s="24">
        <f t="shared" si="29"/>
        <v>0</v>
      </c>
      <c r="F62" s="24">
        <f t="shared" si="29"/>
        <v>0</v>
      </c>
      <c r="G62" s="24">
        <f t="shared" si="29"/>
        <v>735.1</v>
      </c>
      <c r="H62" s="968"/>
      <c r="I62" s="968"/>
      <c r="J62" s="968"/>
      <c r="K62" s="968"/>
      <c r="L62" s="968">
        <f t="shared" si="38"/>
        <v>735.1</v>
      </c>
      <c r="M62" s="968"/>
      <c r="N62" s="983"/>
      <c r="O62" s="973">
        <v>735.1</v>
      </c>
      <c r="P62" s="985"/>
      <c r="Q62" s="985"/>
      <c r="R62" s="968"/>
      <c r="S62" s="968"/>
      <c r="T62" s="24"/>
      <c r="U62" s="24"/>
      <c r="V62" s="24"/>
      <c r="W62" s="24"/>
      <c r="X62" s="243"/>
      <c r="Y62" s="243"/>
      <c r="Z62" s="243"/>
      <c r="AA62" s="243"/>
      <c r="AB62" s="243"/>
      <c r="AC62" s="243"/>
      <c r="AD62" s="16"/>
      <c r="AE62" s="16"/>
      <c r="AF62" s="16"/>
      <c r="AG62" s="16"/>
      <c r="AH62" s="422"/>
      <c r="AI62" s="422"/>
      <c r="AJ62" s="422"/>
      <c r="AK62" s="422"/>
      <c r="AL62" s="1013"/>
      <c r="AM62" s="1013"/>
      <c r="AN62" s="1013"/>
      <c r="AO62" s="1013"/>
    </row>
    <row r="63" spans="1:41" ht="24.75" x14ac:dyDescent="0.25">
      <c r="A63" s="153"/>
      <c r="B63" s="74" t="s">
        <v>115</v>
      </c>
      <c r="C63" s="74" t="s">
        <v>18</v>
      </c>
      <c r="D63" s="24">
        <f t="shared" si="37"/>
        <v>745.73</v>
      </c>
      <c r="E63" s="24">
        <f t="shared" si="29"/>
        <v>0</v>
      </c>
      <c r="F63" s="24">
        <f t="shared" si="29"/>
        <v>0</v>
      </c>
      <c r="G63" s="24">
        <f t="shared" si="29"/>
        <v>745.73</v>
      </c>
      <c r="H63" s="968">
        <f>I63+J63+K63</f>
        <v>745.73</v>
      </c>
      <c r="I63" s="968"/>
      <c r="J63" s="968"/>
      <c r="K63" s="968">
        <v>745.73</v>
      </c>
      <c r="L63" s="968">
        <f t="shared" si="38"/>
        <v>0</v>
      </c>
      <c r="M63" s="968"/>
      <c r="N63" s="983"/>
      <c r="O63" s="983"/>
      <c r="P63" s="985"/>
      <c r="Q63" s="985"/>
      <c r="R63" s="968"/>
      <c r="S63" s="968"/>
      <c r="T63" s="24"/>
      <c r="U63" s="24"/>
      <c r="V63" s="24"/>
      <c r="W63" s="24"/>
      <c r="X63" s="243"/>
      <c r="Y63" s="243"/>
      <c r="Z63" s="243"/>
      <c r="AA63" s="243"/>
      <c r="AB63" s="243"/>
      <c r="AC63" s="243"/>
      <c r="AD63" s="16"/>
      <c r="AE63" s="16"/>
      <c r="AF63" s="16"/>
      <c r="AG63" s="16"/>
      <c r="AH63" s="422"/>
      <c r="AI63" s="422"/>
      <c r="AJ63" s="422"/>
      <c r="AK63" s="422"/>
      <c r="AL63" s="1013"/>
      <c r="AM63" s="1013"/>
      <c r="AN63" s="1013"/>
      <c r="AO63" s="1013"/>
    </row>
    <row r="64" spans="1:41" ht="24.75" x14ac:dyDescent="0.25">
      <c r="A64" s="153"/>
      <c r="B64" s="74" t="s">
        <v>292</v>
      </c>
      <c r="C64" s="74" t="s">
        <v>38</v>
      </c>
      <c r="D64" s="24">
        <f t="shared" si="37"/>
        <v>386.404</v>
      </c>
      <c r="E64" s="24">
        <f t="shared" si="29"/>
        <v>0</v>
      </c>
      <c r="F64" s="24">
        <f t="shared" si="29"/>
        <v>0</v>
      </c>
      <c r="G64" s="24">
        <f t="shared" si="29"/>
        <v>386.404</v>
      </c>
      <c r="H64" s="968"/>
      <c r="I64" s="968"/>
      <c r="J64" s="968"/>
      <c r="K64" s="968"/>
      <c r="L64" s="968">
        <f t="shared" si="38"/>
        <v>0</v>
      </c>
      <c r="M64" s="968"/>
      <c r="N64" s="983"/>
      <c r="O64" s="983"/>
      <c r="P64" s="973">
        <f>Q64+R64+S64</f>
        <v>0</v>
      </c>
      <c r="Q64" s="973"/>
      <c r="R64" s="968"/>
      <c r="S64" s="968"/>
      <c r="T64" s="24">
        <f>U64+V64+W64</f>
        <v>386.404</v>
      </c>
      <c r="U64" s="24"/>
      <c r="V64" s="24"/>
      <c r="W64" s="24">
        <v>386.404</v>
      </c>
      <c r="X64" s="243"/>
      <c r="Y64" s="243"/>
      <c r="Z64" s="243"/>
      <c r="AA64" s="243"/>
      <c r="AB64" s="243"/>
      <c r="AC64" s="243"/>
      <c r="AD64" s="16"/>
      <c r="AE64" s="16"/>
      <c r="AF64" s="16"/>
      <c r="AG64" s="16"/>
      <c r="AH64" s="422"/>
      <c r="AI64" s="422"/>
      <c r="AJ64" s="422"/>
      <c r="AK64" s="422"/>
      <c r="AL64" s="1013"/>
      <c r="AM64" s="1013"/>
      <c r="AN64" s="1013"/>
      <c r="AO64" s="1013"/>
    </row>
    <row r="65" spans="1:41" ht="24.75" x14ac:dyDescent="0.25">
      <c r="A65" s="153"/>
      <c r="B65" s="74" t="s">
        <v>41</v>
      </c>
      <c r="C65" s="74" t="s">
        <v>38</v>
      </c>
      <c r="D65" s="24">
        <f t="shared" si="37"/>
        <v>0</v>
      </c>
      <c r="E65" s="24">
        <f t="shared" si="29"/>
        <v>0</v>
      </c>
      <c r="F65" s="24">
        <f t="shared" si="29"/>
        <v>0</v>
      </c>
      <c r="G65" s="24">
        <f t="shared" si="29"/>
        <v>0</v>
      </c>
      <c r="H65" s="968"/>
      <c r="I65" s="968"/>
      <c r="J65" s="968"/>
      <c r="K65" s="968"/>
      <c r="L65" s="968">
        <f t="shared" si="38"/>
        <v>0</v>
      </c>
      <c r="M65" s="968"/>
      <c r="N65" s="983"/>
      <c r="O65" s="983"/>
      <c r="P65" s="973">
        <f>Q65+R65+S65</f>
        <v>0</v>
      </c>
      <c r="Q65" s="973"/>
      <c r="R65" s="968"/>
      <c r="S65" s="968"/>
      <c r="T65" s="24"/>
      <c r="U65" s="24"/>
      <c r="V65" s="24"/>
      <c r="W65" s="24"/>
      <c r="X65" s="243"/>
      <c r="Y65" s="243"/>
      <c r="Z65" s="243"/>
      <c r="AA65" s="243"/>
      <c r="AB65" s="243"/>
      <c r="AC65" s="243"/>
      <c r="AD65" s="16"/>
      <c r="AE65" s="16"/>
      <c r="AF65" s="16"/>
      <c r="AG65" s="16"/>
      <c r="AH65" s="422"/>
      <c r="AI65" s="422"/>
      <c r="AJ65" s="422"/>
      <c r="AK65" s="422"/>
      <c r="AL65" s="1013"/>
      <c r="AM65" s="1013"/>
      <c r="AN65" s="1013"/>
      <c r="AO65" s="1013"/>
    </row>
    <row r="66" spans="1:41" ht="24.75" x14ac:dyDescent="0.25">
      <c r="A66" s="153"/>
      <c r="B66" s="74" t="s">
        <v>34</v>
      </c>
      <c r="C66" s="74" t="s">
        <v>33</v>
      </c>
      <c r="D66" s="24">
        <f t="shared" si="37"/>
        <v>564.79999999999995</v>
      </c>
      <c r="E66" s="24">
        <f t="shared" si="29"/>
        <v>0</v>
      </c>
      <c r="F66" s="24">
        <f t="shared" si="29"/>
        <v>0</v>
      </c>
      <c r="G66" s="24">
        <f t="shared" si="29"/>
        <v>564.79999999999995</v>
      </c>
      <c r="H66" s="968">
        <f>I66+J66+K66</f>
        <v>564.79999999999995</v>
      </c>
      <c r="I66" s="968"/>
      <c r="J66" s="968"/>
      <c r="K66" s="968">
        <v>564.79999999999995</v>
      </c>
      <c r="L66" s="968">
        <f t="shared" si="38"/>
        <v>0</v>
      </c>
      <c r="M66" s="968"/>
      <c r="N66" s="983"/>
      <c r="O66" s="983"/>
      <c r="P66" s="984"/>
      <c r="Q66" s="984"/>
      <c r="R66" s="968"/>
      <c r="S66" s="968"/>
      <c r="T66" s="24"/>
      <c r="U66" s="24"/>
      <c r="V66" s="24"/>
      <c r="W66" s="24"/>
      <c r="X66" s="243"/>
      <c r="Y66" s="243"/>
      <c r="Z66" s="243"/>
      <c r="AA66" s="243"/>
      <c r="AB66" s="243"/>
      <c r="AC66" s="243"/>
      <c r="AD66" s="16"/>
      <c r="AE66" s="16"/>
      <c r="AF66" s="16"/>
      <c r="AG66" s="16"/>
      <c r="AH66" s="422"/>
      <c r="AI66" s="422"/>
      <c r="AJ66" s="422"/>
      <c r="AK66" s="422"/>
      <c r="AL66" s="1013"/>
      <c r="AM66" s="1013"/>
      <c r="AN66" s="1013"/>
      <c r="AO66" s="1013"/>
    </row>
    <row r="67" spans="1:41" ht="24.75" x14ac:dyDescent="0.25">
      <c r="A67" s="153"/>
      <c r="B67" s="74" t="s">
        <v>36</v>
      </c>
      <c r="C67" s="74" t="s">
        <v>27</v>
      </c>
      <c r="D67" s="24">
        <f t="shared" si="37"/>
        <v>0</v>
      </c>
      <c r="E67" s="24">
        <f t="shared" ref="E67" si="39">I67+M67+Q67+U67</f>
        <v>0</v>
      </c>
      <c r="F67" s="24">
        <f t="shared" ref="F67:G90" si="40">J67+N67+R67+V67+AF67+AJ67+AN67</f>
        <v>0</v>
      </c>
      <c r="G67" s="24">
        <f t="shared" si="40"/>
        <v>0</v>
      </c>
      <c r="H67" s="968"/>
      <c r="I67" s="968"/>
      <c r="J67" s="968"/>
      <c r="K67" s="968"/>
      <c r="L67" s="968">
        <f t="shared" si="38"/>
        <v>0</v>
      </c>
      <c r="M67" s="968"/>
      <c r="N67" s="983"/>
      <c r="O67" s="983"/>
      <c r="P67" s="973">
        <f>Q67+R67+S67</f>
        <v>0</v>
      </c>
      <c r="Q67" s="985"/>
      <c r="R67" s="968"/>
      <c r="S67" s="968"/>
      <c r="T67" s="24"/>
      <c r="U67" s="24"/>
      <c r="V67" s="24"/>
      <c r="W67" s="24"/>
      <c r="X67" s="243"/>
      <c r="Y67" s="243"/>
      <c r="Z67" s="243"/>
      <c r="AA67" s="243"/>
      <c r="AB67" s="243"/>
      <c r="AC67" s="243"/>
      <c r="AD67" s="16"/>
      <c r="AE67" s="16"/>
      <c r="AF67" s="16"/>
      <c r="AG67" s="16"/>
      <c r="AH67" s="422"/>
      <c r="AI67" s="422"/>
      <c r="AJ67" s="422"/>
      <c r="AK67" s="422"/>
      <c r="AL67" s="1013"/>
      <c r="AM67" s="1013"/>
      <c r="AN67" s="1013"/>
      <c r="AO67" s="1013"/>
    </row>
    <row r="68" spans="1:41" ht="15" x14ac:dyDescent="0.25">
      <c r="A68" s="153"/>
      <c r="B68" s="154" t="s">
        <v>37</v>
      </c>
      <c r="C68" s="154" t="s">
        <v>46</v>
      </c>
      <c r="D68" s="24">
        <f t="shared" si="37"/>
        <v>152.739</v>
      </c>
      <c r="E68" s="24">
        <f t="shared" ref="E68:G106" si="41">I68+M68+Q68+U68+AE68+AI68+AM68</f>
        <v>0</v>
      </c>
      <c r="F68" s="24">
        <f t="shared" si="40"/>
        <v>0</v>
      </c>
      <c r="G68" s="24">
        <f t="shared" si="40"/>
        <v>152.739</v>
      </c>
      <c r="H68" s="968">
        <f>I68+J68+K68</f>
        <v>122.739</v>
      </c>
      <c r="I68" s="968"/>
      <c r="J68" s="968"/>
      <c r="K68" s="968">
        <f>150-27.261</f>
        <v>122.739</v>
      </c>
      <c r="L68" s="968">
        <f t="shared" si="38"/>
        <v>30</v>
      </c>
      <c r="M68" s="968"/>
      <c r="N68" s="983"/>
      <c r="O68" s="973">
        <v>30</v>
      </c>
      <c r="P68" s="985"/>
      <c r="Q68" s="985"/>
      <c r="R68" s="968"/>
      <c r="S68" s="968"/>
      <c r="T68" s="24"/>
      <c r="U68" s="24"/>
      <c r="V68" s="24"/>
      <c r="W68" s="24"/>
      <c r="X68" s="243"/>
      <c r="Y68" s="243"/>
      <c r="Z68" s="243"/>
      <c r="AA68" s="243"/>
      <c r="AB68" s="243"/>
      <c r="AC68" s="243"/>
      <c r="AD68" s="16"/>
      <c r="AE68" s="16"/>
      <c r="AF68" s="16"/>
      <c r="AG68" s="16"/>
      <c r="AH68" s="422"/>
      <c r="AI68" s="422"/>
      <c r="AJ68" s="422"/>
      <c r="AK68" s="422"/>
      <c r="AL68" s="1013"/>
      <c r="AM68" s="1013"/>
      <c r="AN68" s="1013"/>
      <c r="AO68" s="1013"/>
    </row>
    <row r="69" spans="1:41" ht="15" x14ac:dyDescent="0.25">
      <c r="A69" s="153"/>
      <c r="B69" s="74" t="s">
        <v>43</v>
      </c>
      <c r="C69" s="74" t="s">
        <v>47</v>
      </c>
      <c r="D69" s="24">
        <f t="shared" si="37"/>
        <v>0</v>
      </c>
      <c r="E69" s="24">
        <f t="shared" si="41"/>
        <v>0</v>
      </c>
      <c r="F69" s="24">
        <f t="shared" si="40"/>
        <v>0</v>
      </c>
      <c r="G69" s="24">
        <f t="shared" si="40"/>
        <v>0</v>
      </c>
      <c r="H69" s="968">
        <f>I69+J69+K69</f>
        <v>0</v>
      </c>
      <c r="I69" s="968"/>
      <c r="J69" s="968"/>
      <c r="K69" s="968"/>
      <c r="L69" s="968"/>
      <c r="M69" s="968"/>
      <c r="N69" s="983"/>
      <c r="O69" s="983"/>
      <c r="P69" s="973">
        <f>Q69+R69+S69</f>
        <v>0</v>
      </c>
      <c r="Q69" s="973"/>
      <c r="R69" s="968"/>
      <c r="S69" s="968"/>
      <c r="T69" s="24"/>
      <c r="U69" s="24"/>
      <c r="V69" s="24"/>
      <c r="W69" s="24"/>
      <c r="X69" s="243"/>
      <c r="Y69" s="243"/>
      <c r="Z69" s="243"/>
      <c r="AA69" s="243"/>
      <c r="AB69" s="243"/>
      <c r="AC69" s="243"/>
      <c r="AD69" s="16"/>
      <c r="AE69" s="16"/>
      <c r="AF69" s="16"/>
      <c r="AG69" s="16"/>
      <c r="AH69" s="422"/>
      <c r="AI69" s="422"/>
      <c r="AJ69" s="422"/>
      <c r="AK69" s="422"/>
      <c r="AL69" s="1013"/>
      <c r="AM69" s="1013"/>
      <c r="AN69" s="1013"/>
      <c r="AO69" s="1013"/>
    </row>
    <row r="70" spans="1:41" ht="24.75" x14ac:dyDescent="0.25">
      <c r="A70" s="153"/>
      <c r="B70" s="74" t="s">
        <v>48</v>
      </c>
      <c r="C70" s="74" t="s">
        <v>40</v>
      </c>
      <c r="D70" s="24">
        <f t="shared" si="37"/>
        <v>0</v>
      </c>
      <c r="E70" s="24">
        <f t="shared" si="41"/>
        <v>0</v>
      </c>
      <c r="F70" s="24">
        <f t="shared" si="40"/>
        <v>0</v>
      </c>
      <c r="G70" s="24">
        <f t="shared" si="40"/>
        <v>0</v>
      </c>
      <c r="H70" s="968">
        <f>I70+J70+K70</f>
        <v>0</v>
      </c>
      <c r="I70" s="968"/>
      <c r="J70" s="968"/>
      <c r="K70" s="968"/>
      <c r="L70" s="968"/>
      <c r="M70" s="968"/>
      <c r="N70" s="983"/>
      <c r="O70" s="983"/>
      <c r="P70" s="973">
        <f>Q70+R70+S70</f>
        <v>0</v>
      </c>
      <c r="Q70" s="973"/>
      <c r="R70" s="968"/>
      <c r="S70" s="968"/>
      <c r="T70" s="24"/>
      <c r="U70" s="24"/>
      <c r="V70" s="24"/>
      <c r="W70" s="24"/>
      <c r="X70" s="243"/>
      <c r="Y70" s="243"/>
      <c r="Z70" s="243"/>
      <c r="AA70" s="243"/>
      <c r="AB70" s="243"/>
      <c r="AC70" s="243"/>
      <c r="AD70" s="16"/>
      <c r="AE70" s="16"/>
      <c r="AF70" s="16"/>
      <c r="AG70" s="16"/>
      <c r="AH70" s="422"/>
      <c r="AI70" s="422"/>
      <c r="AJ70" s="422"/>
      <c r="AK70" s="422"/>
      <c r="AL70" s="1013"/>
      <c r="AM70" s="1013"/>
      <c r="AN70" s="1013"/>
      <c r="AO70" s="1013"/>
    </row>
    <row r="71" spans="1:41" ht="24.75" x14ac:dyDescent="0.25">
      <c r="A71" s="153"/>
      <c r="B71" s="74" t="s">
        <v>48</v>
      </c>
      <c r="C71" s="74" t="s">
        <v>50</v>
      </c>
      <c r="D71" s="24">
        <f t="shared" si="37"/>
        <v>0</v>
      </c>
      <c r="E71" s="24">
        <f t="shared" si="41"/>
        <v>0</v>
      </c>
      <c r="F71" s="24">
        <f t="shared" si="40"/>
        <v>0</v>
      </c>
      <c r="G71" s="24">
        <f t="shared" si="40"/>
        <v>0</v>
      </c>
      <c r="H71" s="968">
        <f t="shared" ref="H71:H83" si="42">I71+J71+K71</f>
        <v>0</v>
      </c>
      <c r="I71" s="968"/>
      <c r="J71" s="968"/>
      <c r="K71" s="968"/>
      <c r="L71" s="968"/>
      <c r="M71" s="968"/>
      <c r="N71" s="983"/>
      <c r="O71" s="983"/>
      <c r="P71" s="973">
        <f>Q71+R71+S71</f>
        <v>0</v>
      </c>
      <c r="Q71" s="973"/>
      <c r="R71" s="968"/>
      <c r="S71" s="968"/>
      <c r="T71" s="24"/>
      <c r="U71" s="24"/>
      <c r="V71" s="24"/>
      <c r="W71" s="24"/>
      <c r="X71" s="243"/>
      <c r="Y71" s="243"/>
      <c r="Z71" s="243"/>
      <c r="AA71" s="243"/>
      <c r="AB71" s="243"/>
      <c r="AC71" s="243"/>
      <c r="AD71" s="16"/>
      <c r="AE71" s="16"/>
      <c r="AF71" s="16"/>
      <c r="AG71" s="16"/>
      <c r="AH71" s="422"/>
      <c r="AI71" s="422"/>
      <c r="AJ71" s="422"/>
      <c r="AK71" s="422"/>
      <c r="AL71" s="1013"/>
      <c r="AM71" s="1013"/>
      <c r="AN71" s="1013"/>
      <c r="AO71" s="1013"/>
    </row>
    <row r="72" spans="1:41" ht="24.75" x14ac:dyDescent="0.25">
      <c r="A72" s="153"/>
      <c r="B72" s="74" t="s">
        <v>132</v>
      </c>
      <c r="C72" s="74" t="s">
        <v>62</v>
      </c>
      <c r="D72" s="24">
        <f t="shared" si="37"/>
        <v>400</v>
      </c>
      <c r="E72" s="24">
        <f t="shared" si="41"/>
        <v>0</v>
      </c>
      <c r="F72" s="24">
        <f t="shared" si="40"/>
        <v>0</v>
      </c>
      <c r="G72" s="24">
        <f t="shared" si="40"/>
        <v>400</v>
      </c>
      <c r="H72" s="968">
        <f t="shared" si="42"/>
        <v>0</v>
      </c>
      <c r="I72" s="968"/>
      <c r="J72" s="968"/>
      <c r="K72" s="968"/>
      <c r="L72" s="968">
        <f t="shared" ref="L72:L78" si="43">M72+N72+O72</f>
        <v>400</v>
      </c>
      <c r="M72" s="968"/>
      <c r="N72" s="983"/>
      <c r="O72" s="973">
        <v>400</v>
      </c>
      <c r="P72" s="984"/>
      <c r="Q72" s="984"/>
      <c r="R72" s="968"/>
      <c r="S72" s="968"/>
      <c r="T72" s="24"/>
      <c r="U72" s="24"/>
      <c r="V72" s="24"/>
      <c r="W72" s="24"/>
      <c r="X72" s="243"/>
      <c r="Y72" s="243"/>
      <c r="Z72" s="243"/>
      <c r="AA72" s="243"/>
      <c r="AB72" s="243"/>
      <c r="AC72" s="243"/>
      <c r="AD72" s="16"/>
      <c r="AE72" s="16"/>
      <c r="AF72" s="16"/>
      <c r="AG72" s="16"/>
      <c r="AH72" s="422"/>
      <c r="AI72" s="422"/>
      <c r="AJ72" s="422"/>
      <c r="AK72" s="422"/>
      <c r="AL72" s="1013"/>
      <c r="AM72" s="1013"/>
      <c r="AN72" s="1013"/>
      <c r="AO72" s="1013"/>
    </row>
    <row r="73" spans="1:41" ht="24.75" x14ac:dyDescent="0.25">
      <c r="A73" s="153"/>
      <c r="B73" s="154" t="s">
        <v>30</v>
      </c>
      <c r="C73" s="154" t="s">
        <v>72</v>
      </c>
      <c r="D73" s="24">
        <f t="shared" si="37"/>
        <v>180</v>
      </c>
      <c r="E73" s="24">
        <f t="shared" si="41"/>
        <v>0</v>
      </c>
      <c r="F73" s="24">
        <f t="shared" si="40"/>
        <v>0</v>
      </c>
      <c r="G73" s="24">
        <f t="shared" si="40"/>
        <v>180</v>
      </c>
      <c r="H73" s="986"/>
      <c r="I73" s="986"/>
      <c r="J73" s="986"/>
      <c r="K73" s="986"/>
      <c r="L73" s="986">
        <f t="shared" si="43"/>
        <v>180</v>
      </c>
      <c r="M73" s="968"/>
      <c r="N73" s="983"/>
      <c r="O73" s="973">
        <v>180</v>
      </c>
      <c r="P73" s="984"/>
      <c r="Q73" s="984"/>
      <c r="R73" s="968"/>
      <c r="S73" s="968"/>
      <c r="T73" s="24"/>
      <c r="U73" s="24"/>
      <c r="V73" s="24"/>
      <c r="W73" s="24"/>
      <c r="X73" s="243"/>
      <c r="Y73" s="243"/>
      <c r="Z73" s="243"/>
      <c r="AA73" s="243"/>
      <c r="AB73" s="243"/>
      <c r="AC73" s="243"/>
      <c r="AD73" s="16"/>
      <c r="AE73" s="16"/>
      <c r="AF73" s="16"/>
      <c r="AG73" s="16"/>
      <c r="AH73" s="422"/>
      <c r="AI73" s="422"/>
      <c r="AJ73" s="422"/>
      <c r="AK73" s="422"/>
      <c r="AL73" s="1013"/>
      <c r="AM73" s="1013"/>
      <c r="AN73" s="1013"/>
      <c r="AO73" s="1013"/>
    </row>
    <row r="74" spans="1:41" ht="24.75" x14ac:dyDescent="0.25">
      <c r="A74" s="153"/>
      <c r="B74" s="154" t="s">
        <v>176</v>
      </c>
      <c r="C74" s="154" t="s">
        <v>40</v>
      </c>
      <c r="D74" s="24">
        <f t="shared" si="37"/>
        <v>60</v>
      </c>
      <c r="E74" s="24">
        <f t="shared" si="41"/>
        <v>0</v>
      </c>
      <c r="F74" s="24">
        <f t="shared" si="40"/>
        <v>0</v>
      </c>
      <c r="G74" s="24">
        <f t="shared" si="40"/>
        <v>60</v>
      </c>
      <c r="H74" s="986"/>
      <c r="I74" s="986"/>
      <c r="J74" s="986"/>
      <c r="K74" s="986"/>
      <c r="L74" s="986">
        <f t="shared" si="43"/>
        <v>60</v>
      </c>
      <c r="M74" s="968"/>
      <c r="N74" s="983"/>
      <c r="O74" s="973">
        <v>60</v>
      </c>
      <c r="P74" s="984"/>
      <c r="Q74" s="984"/>
      <c r="R74" s="968"/>
      <c r="S74" s="968"/>
      <c r="T74" s="24"/>
      <c r="U74" s="24"/>
      <c r="V74" s="24"/>
      <c r="W74" s="24"/>
      <c r="X74" s="243"/>
      <c r="Y74" s="243"/>
      <c r="Z74" s="243"/>
      <c r="AA74" s="243"/>
      <c r="AB74" s="243"/>
      <c r="AC74" s="243"/>
      <c r="AD74" s="16"/>
      <c r="AE74" s="16"/>
      <c r="AF74" s="16"/>
      <c r="AG74" s="16"/>
      <c r="AH74" s="422"/>
      <c r="AI74" s="422"/>
      <c r="AJ74" s="422"/>
      <c r="AK74" s="422"/>
      <c r="AL74" s="1013"/>
      <c r="AM74" s="1013"/>
      <c r="AN74" s="1013"/>
      <c r="AO74" s="1013"/>
    </row>
    <row r="75" spans="1:41" ht="24.75" x14ac:dyDescent="0.25">
      <c r="A75" s="153"/>
      <c r="B75" s="156" t="s">
        <v>180</v>
      </c>
      <c r="C75" s="157" t="s">
        <v>31</v>
      </c>
      <c r="D75" s="24">
        <f t="shared" si="37"/>
        <v>26.3</v>
      </c>
      <c r="E75" s="24">
        <f t="shared" si="41"/>
        <v>0</v>
      </c>
      <c r="F75" s="24">
        <f t="shared" si="40"/>
        <v>0</v>
      </c>
      <c r="G75" s="24">
        <f t="shared" si="40"/>
        <v>26.3</v>
      </c>
      <c r="H75" s="986"/>
      <c r="I75" s="986"/>
      <c r="J75" s="986"/>
      <c r="K75" s="986"/>
      <c r="L75" s="986">
        <f>M75+N75+O75</f>
        <v>26.3</v>
      </c>
      <c r="M75" s="968"/>
      <c r="N75" s="983"/>
      <c r="O75" s="973">
        <v>26.3</v>
      </c>
      <c r="P75" s="984"/>
      <c r="Q75" s="984"/>
      <c r="R75" s="968"/>
      <c r="S75" s="968"/>
      <c r="T75" s="24"/>
      <c r="U75" s="24"/>
      <c r="V75" s="24"/>
      <c r="W75" s="24"/>
      <c r="X75" s="243"/>
      <c r="Y75" s="243"/>
      <c r="Z75" s="243"/>
      <c r="AA75" s="243"/>
      <c r="AB75" s="243"/>
      <c r="AC75" s="243"/>
      <c r="AD75" s="16"/>
      <c r="AE75" s="16"/>
      <c r="AF75" s="16"/>
      <c r="AG75" s="16"/>
      <c r="AH75" s="422"/>
      <c r="AI75" s="422"/>
      <c r="AJ75" s="422"/>
      <c r="AK75" s="422"/>
      <c r="AL75" s="1013"/>
      <c r="AM75" s="1013"/>
      <c r="AN75" s="1013"/>
      <c r="AO75" s="1013"/>
    </row>
    <row r="76" spans="1:41" ht="36.75" x14ac:dyDescent="0.25">
      <c r="A76" s="153"/>
      <c r="B76" s="154" t="s">
        <v>178</v>
      </c>
      <c r="C76" s="74" t="s">
        <v>629</v>
      </c>
      <c r="D76" s="24">
        <f t="shared" si="37"/>
        <v>372.97</v>
      </c>
      <c r="E76" s="24">
        <f t="shared" si="41"/>
        <v>0</v>
      </c>
      <c r="F76" s="24">
        <f t="shared" si="40"/>
        <v>0</v>
      </c>
      <c r="G76" s="24">
        <f t="shared" si="40"/>
        <v>372.97</v>
      </c>
      <c r="H76" s="986"/>
      <c r="I76" s="986"/>
      <c r="J76" s="986"/>
      <c r="K76" s="986"/>
      <c r="L76" s="986">
        <f t="shared" si="43"/>
        <v>75.3</v>
      </c>
      <c r="M76" s="968"/>
      <c r="N76" s="983"/>
      <c r="O76" s="973">
        <v>75.3</v>
      </c>
      <c r="P76" s="984"/>
      <c r="Q76" s="984"/>
      <c r="R76" s="968"/>
      <c r="S76" s="968"/>
      <c r="T76" s="251">
        <f>U76+V76+W76</f>
        <v>297.67</v>
      </c>
      <c r="U76" s="24"/>
      <c r="V76" s="24"/>
      <c r="W76" s="24">
        <v>297.67</v>
      </c>
      <c r="X76" s="243"/>
      <c r="Y76" s="243"/>
      <c r="Z76" s="243"/>
      <c r="AA76" s="243"/>
      <c r="AB76" s="243"/>
      <c r="AC76" s="243"/>
      <c r="AD76" s="16"/>
      <c r="AE76" s="16"/>
      <c r="AF76" s="16"/>
      <c r="AG76" s="16"/>
      <c r="AH76" s="422"/>
      <c r="AI76" s="422"/>
      <c r="AJ76" s="422"/>
      <c r="AK76" s="422"/>
      <c r="AL76" s="1013"/>
      <c r="AM76" s="1013"/>
      <c r="AN76" s="1013"/>
      <c r="AO76" s="1013"/>
    </row>
    <row r="77" spans="1:41" ht="24.75" x14ac:dyDescent="0.25">
      <c r="A77" s="153"/>
      <c r="B77" s="155" t="s">
        <v>49</v>
      </c>
      <c r="C77" s="155" t="s">
        <v>45</v>
      </c>
      <c r="D77" s="26">
        <f t="shared" si="37"/>
        <v>2758.4464200000002</v>
      </c>
      <c r="E77" s="24">
        <f t="shared" si="41"/>
        <v>0</v>
      </c>
      <c r="F77" s="24">
        <f t="shared" si="40"/>
        <v>0</v>
      </c>
      <c r="G77" s="24">
        <f t="shared" si="40"/>
        <v>2758.4464200000002</v>
      </c>
      <c r="H77" s="976">
        <f t="shared" si="42"/>
        <v>13.7</v>
      </c>
      <c r="I77" s="976"/>
      <c r="J77" s="976"/>
      <c r="K77" s="976">
        <v>13.7</v>
      </c>
      <c r="L77" s="976">
        <f t="shared" si="43"/>
        <v>341.09</v>
      </c>
      <c r="M77" s="976"/>
      <c r="N77" s="987"/>
      <c r="O77" s="978">
        <v>341.09</v>
      </c>
      <c r="P77" s="975">
        <f>Q77+R77+S77</f>
        <v>654.65845000000002</v>
      </c>
      <c r="Q77" s="988"/>
      <c r="R77" s="967"/>
      <c r="S77" s="967">
        <v>654.65845000000002</v>
      </c>
      <c r="T77" s="251">
        <f>U77+V77+W77</f>
        <v>905.29797000000008</v>
      </c>
      <c r="U77" s="26"/>
      <c r="V77" s="24"/>
      <c r="W77" s="24">
        <f>924.73833-19.44036</f>
        <v>905.29797000000008</v>
      </c>
      <c r="X77" s="243"/>
      <c r="Y77" s="243"/>
      <c r="Z77" s="243"/>
      <c r="AA77" s="243"/>
      <c r="AB77" s="243"/>
      <c r="AC77" s="243"/>
      <c r="AD77" s="320">
        <f>AE77+AF77+AG77</f>
        <v>843.7</v>
      </c>
      <c r="AE77" s="320"/>
      <c r="AF77" s="320"/>
      <c r="AG77" s="320">
        <v>843.7</v>
      </c>
      <c r="AH77" s="422"/>
      <c r="AI77" s="422"/>
      <c r="AJ77" s="422"/>
      <c r="AK77" s="422"/>
      <c r="AL77" s="1013"/>
      <c r="AM77" s="1013"/>
      <c r="AN77" s="1013"/>
      <c r="AO77" s="1013"/>
    </row>
    <row r="78" spans="1:41" ht="24.75" x14ac:dyDescent="0.25">
      <c r="A78" s="153"/>
      <c r="B78" s="95" t="s">
        <v>150</v>
      </c>
      <c r="C78" s="74" t="s">
        <v>151</v>
      </c>
      <c r="D78" s="26">
        <f t="shared" si="37"/>
        <v>32.4</v>
      </c>
      <c r="E78" s="24">
        <f t="shared" si="41"/>
        <v>0</v>
      </c>
      <c r="F78" s="24">
        <f t="shared" si="40"/>
        <v>0</v>
      </c>
      <c r="G78" s="24">
        <f t="shared" si="40"/>
        <v>32.4</v>
      </c>
      <c r="H78" s="968">
        <f t="shared" si="42"/>
        <v>0</v>
      </c>
      <c r="I78" s="968"/>
      <c r="J78" s="968"/>
      <c r="K78" s="968"/>
      <c r="L78" s="968">
        <f t="shared" si="43"/>
        <v>32.4</v>
      </c>
      <c r="M78" s="968"/>
      <c r="N78" s="983"/>
      <c r="O78" s="973">
        <v>32.4</v>
      </c>
      <c r="P78" s="985"/>
      <c r="Q78" s="985"/>
      <c r="R78" s="968"/>
      <c r="S78" s="968"/>
      <c r="T78" s="24"/>
      <c r="U78" s="24"/>
      <c r="V78" s="24"/>
      <c r="W78" s="24"/>
      <c r="X78" s="243"/>
      <c r="Y78" s="243"/>
      <c r="Z78" s="243"/>
      <c r="AA78" s="243"/>
      <c r="AB78" s="243"/>
      <c r="AC78" s="243"/>
      <c r="AD78" s="16"/>
      <c r="AE78" s="16"/>
      <c r="AF78" s="16"/>
      <c r="AG78" s="16"/>
      <c r="AH78" s="422"/>
      <c r="AI78" s="422"/>
      <c r="AJ78" s="422"/>
      <c r="AK78" s="422"/>
      <c r="AL78" s="1013"/>
      <c r="AM78" s="1013"/>
      <c r="AN78" s="1013"/>
      <c r="AO78" s="1013"/>
    </row>
    <row r="79" spans="1:41" ht="60.75" x14ac:dyDescent="0.25">
      <c r="A79" s="153"/>
      <c r="B79" s="95" t="s">
        <v>77</v>
      </c>
      <c r="C79" s="74" t="s">
        <v>33</v>
      </c>
      <c r="D79" s="26">
        <f t="shared" si="37"/>
        <v>152.6</v>
      </c>
      <c r="E79" s="24">
        <f t="shared" si="41"/>
        <v>0</v>
      </c>
      <c r="F79" s="24">
        <f t="shared" si="40"/>
        <v>0</v>
      </c>
      <c r="G79" s="24">
        <f t="shared" si="40"/>
        <v>152.6</v>
      </c>
      <c r="H79" s="968">
        <f t="shared" si="42"/>
        <v>152.6</v>
      </c>
      <c r="I79" s="968"/>
      <c r="J79" s="968"/>
      <c r="K79" s="968">
        <v>152.6</v>
      </c>
      <c r="L79" s="968"/>
      <c r="M79" s="968"/>
      <c r="N79" s="983"/>
      <c r="O79" s="973"/>
      <c r="P79" s="985"/>
      <c r="Q79" s="985"/>
      <c r="R79" s="968"/>
      <c r="S79" s="968"/>
      <c r="T79" s="24"/>
      <c r="U79" s="24"/>
      <c r="V79" s="24"/>
      <c r="W79" s="24"/>
      <c r="X79" s="243"/>
      <c r="Y79" s="243"/>
      <c r="Z79" s="243"/>
      <c r="AA79" s="243"/>
      <c r="AB79" s="243"/>
      <c r="AC79" s="243"/>
      <c r="AD79" s="16"/>
      <c r="AE79" s="16"/>
      <c r="AF79" s="16"/>
      <c r="AG79" s="16"/>
      <c r="AH79" s="422"/>
      <c r="AI79" s="422"/>
      <c r="AJ79" s="422"/>
      <c r="AK79" s="422"/>
      <c r="AL79" s="1013"/>
      <c r="AM79" s="1013"/>
      <c r="AN79" s="1013"/>
      <c r="AO79" s="1013"/>
    </row>
    <row r="80" spans="1:41" ht="40.9" customHeight="1" x14ac:dyDescent="0.25">
      <c r="A80" s="153"/>
      <c r="B80" s="95" t="s">
        <v>80</v>
      </c>
      <c r="C80" s="74" t="s">
        <v>498</v>
      </c>
      <c r="D80" s="26">
        <f t="shared" si="37"/>
        <v>270.61899</v>
      </c>
      <c r="E80" s="24">
        <f t="shared" si="41"/>
        <v>0</v>
      </c>
      <c r="F80" s="24">
        <f t="shared" si="40"/>
        <v>0</v>
      </c>
      <c r="G80" s="24">
        <f t="shared" si="40"/>
        <v>270.61899</v>
      </c>
      <c r="H80" s="968">
        <f t="shared" si="42"/>
        <v>64</v>
      </c>
      <c r="I80" s="968"/>
      <c r="J80" s="968"/>
      <c r="K80" s="968">
        <v>64</v>
      </c>
      <c r="L80" s="968"/>
      <c r="M80" s="968"/>
      <c r="N80" s="983"/>
      <c r="O80" s="983"/>
      <c r="P80" s="983">
        <f>Q80+R80+S80</f>
        <v>206.61899</v>
      </c>
      <c r="Q80" s="984"/>
      <c r="R80" s="968"/>
      <c r="S80" s="968">
        <v>206.61899</v>
      </c>
      <c r="T80" s="24"/>
      <c r="U80" s="24"/>
      <c r="V80" s="24"/>
      <c r="W80" s="24"/>
      <c r="X80" s="243"/>
      <c r="Y80" s="243"/>
      <c r="Z80" s="243"/>
      <c r="AA80" s="243"/>
      <c r="AB80" s="243"/>
      <c r="AC80" s="243"/>
      <c r="AD80" s="16"/>
      <c r="AE80" s="16"/>
      <c r="AF80" s="16"/>
      <c r="AG80" s="16"/>
      <c r="AH80" s="422"/>
      <c r="AI80" s="422"/>
      <c r="AJ80" s="422"/>
      <c r="AK80" s="422"/>
      <c r="AL80" s="1013"/>
      <c r="AM80" s="1013"/>
      <c r="AN80" s="1013"/>
      <c r="AO80" s="1013"/>
    </row>
    <row r="81" spans="1:41" ht="24.75" x14ac:dyDescent="0.25">
      <c r="A81" s="153"/>
      <c r="B81" s="95" t="s">
        <v>81</v>
      </c>
      <c r="C81" s="74" t="s">
        <v>33</v>
      </c>
      <c r="D81" s="26">
        <f t="shared" si="37"/>
        <v>401.7</v>
      </c>
      <c r="E81" s="24">
        <f t="shared" si="41"/>
        <v>0</v>
      </c>
      <c r="F81" s="24">
        <f t="shared" si="40"/>
        <v>0</v>
      </c>
      <c r="G81" s="24">
        <f t="shared" si="40"/>
        <v>401.7</v>
      </c>
      <c r="H81" s="968">
        <f t="shared" si="42"/>
        <v>401.7</v>
      </c>
      <c r="I81" s="968"/>
      <c r="J81" s="968"/>
      <c r="K81" s="968">
        <v>401.7</v>
      </c>
      <c r="L81" s="968"/>
      <c r="M81" s="968"/>
      <c r="N81" s="983"/>
      <c r="O81" s="983"/>
      <c r="P81" s="984"/>
      <c r="Q81" s="984"/>
      <c r="R81" s="968"/>
      <c r="S81" s="968"/>
      <c r="T81" s="24"/>
      <c r="U81" s="24"/>
      <c r="V81" s="24"/>
      <c r="W81" s="24"/>
      <c r="X81" s="243"/>
      <c r="Y81" s="243"/>
      <c r="Z81" s="243"/>
      <c r="AA81" s="243"/>
      <c r="AB81" s="243"/>
      <c r="AC81" s="243"/>
      <c r="AD81" s="16"/>
      <c r="AE81" s="16"/>
      <c r="AF81" s="16"/>
      <c r="AG81" s="16"/>
      <c r="AH81" s="422"/>
      <c r="AI81" s="422"/>
      <c r="AJ81" s="422"/>
      <c r="AK81" s="422"/>
      <c r="AL81" s="1013"/>
      <c r="AM81" s="1013"/>
      <c r="AN81" s="1013"/>
      <c r="AO81" s="1013"/>
    </row>
    <row r="82" spans="1:41" ht="36.75" x14ac:dyDescent="0.25">
      <c r="A82" s="153"/>
      <c r="B82" s="95" t="s">
        <v>82</v>
      </c>
      <c r="C82" s="74" t="s">
        <v>83</v>
      </c>
      <c r="D82" s="26">
        <f t="shared" si="37"/>
        <v>70</v>
      </c>
      <c r="E82" s="24">
        <f t="shared" si="41"/>
        <v>0</v>
      </c>
      <c r="F82" s="24">
        <f t="shared" si="40"/>
        <v>0</v>
      </c>
      <c r="G82" s="24">
        <f t="shared" si="40"/>
        <v>70</v>
      </c>
      <c r="H82" s="968">
        <f t="shared" si="42"/>
        <v>70</v>
      </c>
      <c r="I82" s="968"/>
      <c r="J82" s="968"/>
      <c r="K82" s="968">
        <v>70</v>
      </c>
      <c r="L82" s="968"/>
      <c r="M82" s="968"/>
      <c r="N82" s="983"/>
      <c r="O82" s="983"/>
      <c r="P82" s="984"/>
      <c r="Q82" s="984"/>
      <c r="R82" s="968"/>
      <c r="S82" s="968"/>
      <c r="T82" s="24"/>
      <c r="U82" s="24"/>
      <c r="V82" s="24"/>
      <c r="W82" s="24"/>
      <c r="X82" s="243"/>
      <c r="Y82" s="243"/>
      <c r="Z82" s="243"/>
      <c r="AA82" s="243"/>
      <c r="AB82" s="243"/>
      <c r="AC82" s="243"/>
      <c r="AD82" s="16"/>
      <c r="AE82" s="16"/>
      <c r="AF82" s="16"/>
      <c r="AG82" s="16"/>
      <c r="AH82" s="422"/>
      <c r="AI82" s="422"/>
      <c r="AJ82" s="422"/>
      <c r="AK82" s="422"/>
      <c r="AL82" s="1013"/>
      <c r="AM82" s="1013"/>
      <c r="AN82" s="1013"/>
      <c r="AO82" s="1013"/>
    </row>
    <row r="83" spans="1:41" ht="48.75" x14ac:dyDescent="0.25">
      <c r="A83" s="153"/>
      <c r="B83" s="95" t="s">
        <v>87</v>
      </c>
      <c r="C83" s="74" t="s">
        <v>149</v>
      </c>
      <c r="D83" s="26">
        <f t="shared" si="37"/>
        <v>384.40000000000003</v>
      </c>
      <c r="E83" s="24">
        <f t="shared" si="41"/>
        <v>0</v>
      </c>
      <c r="F83" s="24">
        <f t="shared" si="40"/>
        <v>0</v>
      </c>
      <c r="G83" s="24">
        <f t="shared" si="40"/>
        <v>384.40000000000003</v>
      </c>
      <c r="H83" s="968">
        <f t="shared" si="42"/>
        <v>384.40000000000003</v>
      </c>
      <c r="I83" s="968"/>
      <c r="J83" s="968"/>
      <c r="K83" s="968">
        <f>151.3+271.6-38.5</f>
        <v>384.40000000000003</v>
      </c>
      <c r="L83" s="968"/>
      <c r="M83" s="968"/>
      <c r="N83" s="983"/>
      <c r="O83" s="983"/>
      <c r="P83" s="984"/>
      <c r="Q83" s="984"/>
      <c r="R83" s="968"/>
      <c r="S83" s="968"/>
      <c r="T83" s="24"/>
      <c r="U83" s="24"/>
      <c r="V83" s="24"/>
      <c r="W83" s="24"/>
      <c r="X83" s="243"/>
      <c r="Y83" s="243"/>
      <c r="Z83" s="243"/>
      <c r="AA83" s="243"/>
      <c r="AB83" s="243"/>
      <c r="AC83" s="243"/>
      <c r="AD83" s="16"/>
      <c r="AE83" s="16"/>
      <c r="AF83" s="16"/>
      <c r="AG83" s="16"/>
      <c r="AH83" s="422"/>
      <c r="AI83" s="422"/>
      <c r="AJ83" s="422"/>
      <c r="AK83" s="422"/>
      <c r="AL83" s="1013"/>
      <c r="AM83" s="1013"/>
      <c r="AN83" s="1013"/>
      <c r="AO83" s="1013"/>
    </row>
    <row r="84" spans="1:41" ht="36.75" x14ac:dyDescent="0.25">
      <c r="A84" s="153"/>
      <c r="B84" s="95" t="s">
        <v>170</v>
      </c>
      <c r="C84" s="74" t="s">
        <v>38</v>
      </c>
      <c r="D84" s="26">
        <f t="shared" si="37"/>
        <v>57</v>
      </c>
      <c r="E84" s="24">
        <f t="shared" si="41"/>
        <v>0</v>
      </c>
      <c r="F84" s="24">
        <f t="shared" si="40"/>
        <v>0</v>
      </c>
      <c r="G84" s="24">
        <f t="shared" si="40"/>
        <v>57</v>
      </c>
      <c r="H84" s="968"/>
      <c r="I84" s="968"/>
      <c r="J84" s="968"/>
      <c r="K84" s="968"/>
      <c r="L84" s="968">
        <f>M84+N84+O84</f>
        <v>57</v>
      </c>
      <c r="M84" s="968"/>
      <c r="N84" s="983"/>
      <c r="O84" s="973">
        <v>57</v>
      </c>
      <c r="P84" s="984"/>
      <c r="Q84" s="984"/>
      <c r="R84" s="968"/>
      <c r="S84" s="968"/>
      <c r="T84" s="24"/>
      <c r="U84" s="24"/>
      <c r="V84" s="24"/>
      <c r="W84" s="24"/>
      <c r="X84" s="243"/>
      <c r="Y84" s="243"/>
      <c r="Z84" s="243"/>
      <c r="AA84" s="243"/>
      <c r="AB84" s="243"/>
      <c r="AC84" s="243"/>
      <c r="AD84" s="16"/>
      <c r="AE84" s="16"/>
      <c r="AF84" s="16"/>
      <c r="AG84" s="16"/>
      <c r="AH84" s="422"/>
      <c r="AI84" s="422"/>
      <c r="AJ84" s="422"/>
      <c r="AK84" s="422"/>
      <c r="AL84" s="1013"/>
      <c r="AM84" s="1013"/>
      <c r="AN84" s="1013"/>
      <c r="AO84" s="1013"/>
    </row>
    <row r="85" spans="1:41" ht="72.75" x14ac:dyDescent="0.25">
      <c r="A85" s="153"/>
      <c r="B85" s="158" t="s">
        <v>175</v>
      </c>
      <c r="C85" s="74" t="s">
        <v>38</v>
      </c>
      <c r="D85" s="26">
        <f t="shared" si="37"/>
        <v>30</v>
      </c>
      <c r="E85" s="24">
        <f t="shared" si="41"/>
        <v>0</v>
      </c>
      <c r="F85" s="24">
        <f t="shared" si="40"/>
        <v>0</v>
      </c>
      <c r="G85" s="24">
        <f t="shared" si="40"/>
        <v>30</v>
      </c>
      <c r="H85" s="968"/>
      <c r="I85" s="968"/>
      <c r="J85" s="968"/>
      <c r="K85" s="968"/>
      <c r="L85" s="968">
        <f>M85+N85+O85</f>
        <v>30</v>
      </c>
      <c r="M85" s="968"/>
      <c r="N85" s="983"/>
      <c r="O85" s="973">
        <v>30</v>
      </c>
      <c r="P85" s="984"/>
      <c r="Q85" s="984"/>
      <c r="R85" s="968"/>
      <c r="S85" s="968"/>
      <c r="T85" s="24"/>
      <c r="U85" s="24"/>
      <c r="V85" s="24"/>
      <c r="W85" s="24"/>
      <c r="X85" s="243"/>
      <c r="Y85" s="243"/>
      <c r="Z85" s="243"/>
      <c r="AA85" s="243"/>
      <c r="AB85" s="243"/>
      <c r="AC85" s="243"/>
      <c r="AD85" s="16"/>
      <c r="AE85" s="16"/>
      <c r="AF85" s="16"/>
      <c r="AG85" s="16"/>
      <c r="AH85" s="422"/>
      <c r="AI85" s="422"/>
      <c r="AJ85" s="422"/>
      <c r="AK85" s="422"/>
      <c r="AL85" s="1013"/>
      <c r="AM85" s="1013"/>
      <c r="AN85" s="1013"/>
      <c r="AO85" s="1013"/>
    </row>
    <row r="86" spans="1:41" ht="42" customHeight="1" x14ac:dyDescent="0.25">
      <c r="A86" s="153"/>
      <c r="B86" s="158" t="s">
        <v>174</v>
      </c>
      <c r="C86" s="74" t="s">
        <v>35</v>
      </c>
      <c r="D86" s="26">
        <f t="shared" si="37"/>
        <v>15</v>
      </c>
      <c r="E86" s="24">
        <f t="shared" si="41"/>
        <v>0</v>
      </c>
      <c r="F86" s="24">
        <f t="shared" si="40"/>
        <v>0</v>
      </c>
      <c r="G86" s="24">
        <f t="shared" si="40"/>
        <v>15</v>
      </c>
      <c r="H86" s="968"/>
      <c r="I86" s="968"/>
      <c r="J86" s="968"/>
      <c r="K86" s="968"/>
      <c r="L86" s="968">
        <f>M86+N86+O86</f>
        <v>15</v>
      </c>
      <c r="M86" s="968"/>
      <c r="N86" s="983"/>
      <c r="O86" s="973">
        <v>15</v>
      </c>
      <c r="P86" s="983"/>
      <c r="Q86" s="983"/>
      <c r="R86" s="968"/>
      <c r="S86" s="968"/>
      <c r="T86" s="24"/>
      <c r="U86" s="24"/>
      <c r="V86" s="24"/>
      <c r="W86" s="24"/>
      <c r="X86" s="243"/>
      <c r="Y86" s="243"/>
      <c r="Z86" s="243"/>
      <c r="AA86" s="243"/>
      <c r="AB86" s="243"/>
      <c r="AC86" s="243"/>
      <c r="AD86" s="16"/>
      <c r="AE86" s="16"/>
      <c r="AF86" s="16"/>
      <c r="AG86" s="16"/>
      <c r="AH86" s="422"/>
      <c r="AI86" s="422"/>
      <c r="AJ86" s="422"/>
      <c r="AK86" s="422"/>
      <c r="AL86" s="1013"/>
      <c r="AM86" s="1013"/>
      <c r="AN86" s="1013"/>
      <c r="AO86" s="1013"/>
    </row>
    <row r="87" spans="1:41" ht="41.45" customHeight="1" x14ac:dyDescent="0.25">
      <c r="A87" s="153"/>
      <c r="B87" s="158" t="s">
        <v>164</v>
      </c>
      <c r="C87" s="154" t="s">
        <v>38</v>
      </c>
      <c r="D87" s="26">
        <f t="shared" si="37"/>
        <v>60</v>
      </c>
      <c r="E87" s="24">
        <f t="shared" si="41"/>
        <v>0</v>
      </c>
      <c r="F87" s="24">
        <f t="shared" si="40"/>
        <v>0</v>
      </c>
      <c r="G87" s="24">
        <f t="shared" si="40"/>
        <v>60</v>
      </c>
      <c r="H87" s="986"/>
      <c r="I87" s="986"/>
      <c r="J87" s="986"/>
      <c r="K87" s="986"/>
      <c r="L87" s="986">
        <f>M87+N87+O87</f>
        <v>60</v>
      </c>
      <c r="M87" s="968"/>
      <c r="N87" s="983"/>
      <c r="O87" s="973">
        <v>60</v>
      </c>
      <c r="P87" s="983"/>
      <c r="Q87" s="983"/>
      <c r="R87" s="968"/>
      <c r="S87" s="968"/>
      <c r="T87" s="24"/>
      <c r="U87" s="24"/>
      <c r="V87" s="24"/>
      <c r="W87" s="24"/>
      <c r="X87" s="243"/>
      <c r="Y87" s="243"/>
      <c r="Z87" s="243"/>
      <c r="AA87" s="243"/>
      <c r="AB87" s="243"/>
      <c r="AC87" s="243"/>
      <c r="AD87" s="16"/>
      <c r="AE87" s="16"/>
      <c r="AF87" s="16"/>
      <c r="AG87" s="16"/>
      <c r="AH87" s="422"/>
      <c r="AI87" s="422"/>
      <c r="AJ87" s="422"/>
      <c r="AK87" s="422"/>
      <c r="AL87" s="1013"/>
      <c r="AM87" s="1013"/>
      <c r="AN87" s="1013"/>
      <c r="AO87" s="1013"/>
    </row>
    <row r="88" spans="1:41" ht="44.45" customHeight="1" x14ac:dyDescent="0.25">
      <c r="A88" s="153"/>
      <c r="B88" s="95" t="s">
        <v>160</v>
      </c>
      <c r="C88" s="90" t="s">
        <v>161</v>
      </c>
      <c r="D88" s="26">
        <f t="shared" si="37"/>
        <v>20</v>
      </c>
      <c r="E88" s="24">
        <f t="shared" si="41"/>
        <v>0</v>
      </c>
      <c r="F88" s="24">
        <f t="shared" si="40"/>
        <v>0</v>
      </c>
      <c r="G88" s="24">
        <f t="shared" si="40"/>
        <v>20</v>
      </c>
      <c r="H88" s="968"/>
      <c r="I88" s="968"/>
      <c r="J88" s="968"/>
      <c r="K88" s="968"/>
      <c r="L88" s="968">
        <f>M88+N88+O88</f>
        <v>20</v>
      </c>
      <c r="M88" s="968"/>
      <c r="N88" s="983"/>
      <c r="O88" s="973">
        <v>20</v>
      </c>
      <c r="P88" s="983"/>
      <c r="Q88" s="983"/>
      <c r="R88" s="968"/>
      <c r="S88" s="968"/>
      <c r="T88" s="24"/>
      <c r="U88" s="24"/>
      <c r="V88" s="24"/>
      <c r="W88" s="24"/>
      <c r="X88" s="243"/>
      <c r="Y88" s="243"/>
      <c r="Z88" s="243"/>
      <c r="AA88" s="243"/>
      <c r="AB88" s="243"/>
      <c r="AC88" s="243"/>
      <c r="AD88" s="16"/>
      <c r="AE88" s="16"/>
      <c r="AF88" s="16"/>
      <c r="AG88" s="16"/>
      <c r="AH88" s="422"/>
      <c r="AI88" s="422"/>
      <c r="AJ88" s="422"/>
      <c r="AK88" s="422"/>
      <c r="AL88" s="1013"/>
      <c r="AM88" s="1013"/>
      <c r="AN88" s="1013"/>
      <c r="AO88" s="1013"/>
    </row>
    <row r="89" spans="1:41" ht="24.75" x14ac:dyDescent="0.25">
      <c r="A89" s="159"/>
      <c r="B89" s="160" t="s">
        <v>107</v>
      </c>
      <c r="C89" s="108" t="s">
        <v>636</v>
      </c>
      <c r="D89" s="26">
        <f t="shared" si="37"/>
        <v>1918.8</v>
      </c>
      <c r="E89" s="24">
        <f t="shared" si="41"/>
        <v>0</v>
      </c>
      <c r="F89" s="24">
        <f t="shared" si="40"/>
        <v>0</v>
      </c>
      <c r="G89" s="24">
        <f t="shared" si="40"/>
        <v>1918.8</v>
      </c>
      <c r="H89" s="989"/>
      <c r="I89" s="989"/>
      <c r="J89" s="990"/>
      <c r="K89" s="968"/>
      <c r="L89" s="968"/>
      <c r="M89" s="968"/>
      <c r="N89" s="983"/>
      <c r="O89" s="983"/>
      <c r="P89" s="973">
        <f>Q89+R89+S89</f>
        <v>0</v>
      </c>
      <c r="Q89" s="973"/>
      <c r="R89" s="968"/>
      <c r="S89" s="968"/>
      <c r="T89" s="24"/>
      <c r="U89" s="24"/>
      <c r="V89" s="24"/>
      <c r="W89" s="24"/>
      <c r="X89" s="243"/>
      <c r="Y89" s="243"/>
      <c r="Z89" s="243"/>
      <c r="AA89" s="243"/>
      <c r="AB89" s="243"/>
      <c r="AC89" s="243"/>
      <c r="AD89" s="320">
        <f>AE89+AF89+AG89</f>
        <v>1918.8</v>
      </c>
      <c r="AE89" s="320"/>
      <c r="AF89" s="320"/>
      <c r="AG89" s="320">
        <v>1918.8</v>
      </c>
      <c r="AH89" s="422"/>
      <c r="AI89" s="422"/>
      <c r="AJ89" s="422"/>
      <c r="AK89" s="422"/>
      <c r="AL89" s="1013"/>
      <c r="AM89" s="1013"/>
      <c r="AN89" s="1013"/>
      <c r="AO89" s="1013"/>
    </row>
    <row r="90" spans="1:41" ht="24.75" x14ac:dyDescent="0.25">
      <c r="A90" s="159"/>
      <c r="B90" s="160" t="s">
        <v>185</v>
      </c>
      <c r="C90" s="108" t="s">
        <v>25</v>
      </c>
      <c r="D90" s="26">
        <f t="shared" si="37"/>
        <v>74</v>
      </c>
      <c r="E90" s="24">
        <f t="shared" si="41"/>
        <v>0</v>
      </c>
      <c r="F90" s="24">
        <f t="shared" si="40"/>
        <v>0</v>
      </c>
      <c r="G90" s="24">
        <f t="shared" si="40"/>
        <v>74</v>
      </c>
      <c r="H90" s="991"/>
      <c r="I90" s="991"/>
      <c r="J90" s="967"/>
      <c r="K90" s="967"/>
      <c r="L90" s="967">
        <f>M90+N90+O90</f>
        <v>74</v>
      </c>
      <c r="M90" s="967"/>
      <c r="N90" s="975"/>
      <c r="O90" s="975">
        <v>74</v>
      </c>
      <c r="P90" s="975"/>
      <c r="Q90" s="975"/>
      <c r="R90" s="967"/>
      <c r="S90" s="968"/>
      <c r="T90" s="24"/>
      <c r="U90" s="24"/>
      <c r="V90" s="24"/>
      <c r="W90" s="24"/>
      <c r="X90" s="243"/>
      <c r="Y90" s="243"/>
      <c r="Z90" s="243"/>
      <c r="AA90" s="243"/>
      <c r="AB90" s="243"/>
      <c r="AC90" s="243"/>
      <c r="AD90" s="16"/>
      <c r="AE90" s="16"/>
      <c r="AF90" s="16"/>
      <c r="AG90" s="16"/>
      <c r="AH90" s="422"/>
      <c r="AI90" s="422"/>
      <c r="AJ90" s="422"/>
      <c r="AK90" s="422"/>
      <c r="AL90" s="1013"/>
      <c r="AM90" s="1013"/>
      <c r="AN90" s="1013"/>
      <c r="AO90" s="1013"/>
    </row>
    <row r="91" spans="1:41" ht="36.75" x14ac:dyDescent="0.25">
      <c r="A91" s="159"/>
      <c r="B91" s="160" t="s">
        <v>186</v>
      </c>
      <c r="C91" s="108" t="s">
        <v>25</v>
      </c>
      <c r="D91" s="26">
        <f t="shared" si="37"/>
        <v>90.320999999999998</v>
      </c>
      <c r="E91" s="24">
        <f t="shared" si="41"/>
        <v>0</v>
      </c>
      <c r="F91" s="24">
        <f t="shared" si="41"/>
        <v>0</v>
      </c>
      <c r="G91" s="24">
        <f t="shared" si="41"/>
        <v>90.320999999999998</v>
      </c>
      <c r="H91" s="991"/>
      <c r="I91" s="991"/>
      <c r="J91" s="967"/>
      <c r="K91" s="967"/>
      <c r="L91" s="967">
        <f>M91+N91+O91</f>
        <v>90.320999999999998</v>
      </c>
      <c r="M91" s="967"/>
      <c r="N91" s="975"/>
      <c r="O91" s="975">
        <v>90.320999999999998</v>
      </c>
      <c r="P91" s="975"/>
      <c r="Q91" s="975"/>
      <c r="R91" s="967"/>
      <c r="S91" s="968"/>
      <c r="T91" s="24"/>
      <c r="U91" s="24"/>
      <c r="V91" s="24"/>
      <c r="W91" s="24"/>
      <c r="X91" s="243"/>
      <c r="Y91" s="243"/>
      <c r="Z91" s="243"/>
      <c r="AA91" s="243"/>
      <c r="AB91" s="243"/>
      <c r="AC91" s="243"/>
      <c r="AD91" s="16"/>
      <c r="AE91" s="16"/>
      <c r="AF91" s="16"/>
      <c r="AG91" s="16"/>
      <c r="AH91" s="422"/>
      <c r="AI91" s="422"/>
      <c r="AJ91" s="422"/>
      <c r="AK91" s="422"/>
      <c r="AL91" s="1013"/>
      <c r="AM91" s="1013"/>
      <c r="AN91" s="1013"/>
      <c r="AO91" s="1013"/>
    </row>
    <row r="92" spans="1:41" ht="24.75" x14ac:dyDescent="0.25">
      <c r="A92" s="159"/>
      <c r="B92" s="160" t="s">
        <v>343</v>
      </c>
      <c r="C92" s="108" t="s">
        <v>285</v>
      </c>
      <c r="D92" s="26">
        <f t="shared" si="37"/>
        <v>105</v>
      </c>
      <c r="E92" s="24">
        <f t="shared" si="41"/>
        <v>0</v>
      </c>
      <c r="F92" s="24">
        <f t="shared" si="41"/>
        <v>0</v>
      </c>
      <c r="G92" s="24">
        <f t="shared" si="41"/>
        <v>105</v>
      </c>
      <c r="H92" s="991"/>
      <c r="I92" s="991"/>
      <c r="J92" s="967"/>
      <c r="K92" s="967"/>
      <c r="L92" s="967"/>
      <c r="M92" s="967"/>
      <c r="N92" s="975"/>
      <c r="O92" s="975"/>
      <c r="P92" s="975">
        <f>Q92+R92+S92</f>
        <v>105</v>
      </c>
      <c r="Q92" s="975"/>
      <c r="R92" s="967"/>
      <c r="S92" s="968">
        <v>105</v>
      </c>
      <c r="T92" s="24"/>
      <c r="U92" s="24"/>
      <c r="V92" s="24"/>
      <c r="W92" s="24"/>
      <c r="X92" s="243"/>
      <c r="Y92" s="243"/>
      <c r="Z92" s="243"/>
      <c r="AA92" s="243"/>
      <c r="AB92" s="243"/>
      <c r="AC92" s="243"/>
      <c r="AD92" s="16"/>
      <c r="AE92" s="16"/>
      <c r="AF92" s="16"/>
      <c r="AG92" s="16"/>
      <c r="AH92" s="422"/>
      <c r="AI92" s="422"/>
      <c r="AJ92" s="422"/>
      <c r="AK92" s="422"/>
      <c r="AL92" s="1013"/>
      <c r="AM92" s="1013"/>
      <c r="AN92" s="1013"/>
      <c r="AO92" s="1013"/>
    </row>
    <row r="93" spans="1:41" ht="24.75" x14ac:dyDescent="0.25">
      <c r="A93" s="159"/>
      <c r="B93" s="160" t="s">
        <v>287</v>
      </c>
      <c r="C93" s="108" t="s">
        <v>31</v>
      </c>
      <c r="D93" s="26">
        <f t="shared" si="37"/>
        <v>266.00799999999998</v>
      </c>
      <c r="E93" s="24">
        <f t="shared" si="41"/>
        <v>0</v>
      </c>
      <c r="F93" s="24">
        <f t="shared" si="41"/>
        <v>0</v>
      </c>
      <c r="G93" s="24">
        <f t="shared" si="41"/>
        <v>266.00799999999998</v>
      </c>
      <c r="H93" s="991"/>
      <c r="I93" s="991"/>
      <c r="J93" s="967"/>
      <c r="K93" s="967"/>
      <c r="L93" s="967"/>
      <c r="M93" s="967"/>
      <c r="N93" s="975"/>
      <c r="O93" s="975"/>
      <c r="P93" s="975">
        <f t="shared" ref="P93:P108" si="44">Q93+R93+S93</f>
        <v>266.00799999999998</v>
      </c>
      <c r="Q93" s="975"/>
      <c r="R93" s="967"/>
      <c r="S93" s="968">
        <v>266.00799999999998</v>
      </c>
      <c r="T93" s="24"/>
      <c r="U93" s="24"/>
      <c r="V93" s="24"/>
      <c r="W93" s="24"/>
      <c r="X93" s="243"/>
      <c r="Y93" s="243"/>
      <c r="Z93" s="243"/>
      <c r="AA93" s="243"/>
      <c r="AB93" s="243"/>
      <c r="AC93" s="243"/>
      <c r="AD93" s="16"/>
      <c r="AE93" s="16"/>
      <c r="AF93" s="16"/>
      <c r="AG93" s="16"/>
      <c r="AH93" s="422"/>
      <c r="AI93" s="422"/>
      <c r="AJ93" s="422"/>
      <c r="AK93" s="422"/>
      <c r="AL93" s="1013"/>
      <c r="AM93" s="1013"/>
      <c r="AN93" s="1013"/>
      <c r="AO93" s="1013"/>
    </row>
    <row r="94" spans="1:41" ht="24.75" x14ac:dyDescent="0.25">
      <c r="A94" s="289"/>
      <c r="B94" s="160" t="s">
        <v>286</v>
      </c>
      <c r="C94" s="108" t="s">
        <v>23</v>
      </c>
      <c r="D94" s="26">
        <f t="shared" si="37"/>
        <v>555.53399999999999</v>
      </c>
      <c r="E94" s="24">
        <f t="shared" si="41"/>
        <v>0</v>
      </c>
      <c r="F94" s="24">
        <f t="shared" si="41"/>
        <v>0</v>
      </c>
      <c r="G94" s="24">
        <f t="shared" si="41"/>
        <v>555.53399999999999</v>
      </c>
      <c r="H94" s="991"/>
      <c r="I94" s="991"/>
      <c r="J94" s="967"/>
      <c r="K94" s="967"/>
      <c r="L94" s="967"/>
      <c r="M94" s="967"/>
      <c r="N94" s="975"/>
      <c r="O94" s="975"/>
      <c r="P94" s="975">
        <f t="shared" si="44"/>
        <v>555.53399999999999</v>
      </c>
      <c r="Q94" s="975"/>
      <c r="R94" s="967"/>
      <c r="S94" s="967">
        <v>555.53399999999999</v>
      </c>
      <c r="T94" s="24"/>
      <c r="U94" s="24"/>
      <c r="V94" s="24"/>
      <c r="W94" s="24"/>
      <c r="X94" s="243"/>
      <c r="Y94" s="243"/>
      <c r="Z94" s="243"/>
      <c r="AA94" s="243"/>
      <c r="AB94" s="243"/>
      <c r="AC94" s="243"/>
      <c r="AD94" s="16"/>
      <c r="AE94" s="16"/>
      <c r="AF94" s="16"/>
      <c r="AG94" s="16"/>
      <c r="AH94" s="422"/>
      <c r="AI94" s="422"/>
      <c r="AJ94" s="422"/>
      <c r="AK94" s="422"/>
      <c r="AL94" s="1013"/>
      <c r="AM94" s="1013"/>
      <c r="AN94" s="1013"/>
      <c r="AO94" s="1013"/>
    </row>
    <row r="95" spans="1:41" ht="24.75" x14ac:dyDescent="0.25">
      <c r="A95" s="289"/>
      <c r="B95" s="160" t="s">
        <v>349</v>
      </c>
      <c r="C95" s="108" t="s">
        <v>23</v>
      </c>
      <c r="D95" s="26">
        <f t="shared" si="37"/>
        <v>88.8</v>
      </c>
      <c r="E95" s="24">
        <f t="shared" si="41"/>
        <v>0</v>
      </c>
      <c r="F95" s="24">
        <f t="shared" si="41"/>
        <v>0</v>
      </c>
      <c r="G95" s="24">
        <f t="shared" si="41"/>
        <v>88.8</v>
      </c>
      <c r="H95" s="991"/>
      <c r="I95" s="991"/>
      <c r="J95" s="967"/>
      <c r="K95" s="967"/>
      <c r="L95" s="967"/>
      <c r="M95" s="967"/>
      <c r="N95" s="975"/>
      <c r="O95" s="975"/>
      <c r="P95" s="975">
        <f t="shared" si="44"/>
        <v>88.8</v>
      </c>
      <c r="Q95" s="975"/>
      <c r="R95" s="967"/>
      <c r="S95" s="967">
        <v>88.8</v>
      </c>
      <c r="T95" s="24"/>
      <c r="U95" s="24"/>
      <c r="V95" s="24"/>
      <c r="W95" s="24"/>
      <c r="X95" s="243"/>
      <c r="Y95" s="243"/>
      <c r="Z95" s="243"/>
      <c r="AA95" s="243"/>
      <c r="AB95" s="243"/>
      <c r="AC95" s="243"/>
      <c r="AD95" s="16"/>
      <c r="AE95" s="16"/>
      <c r="AF95" s="16"/>
      <c r="AG95" s="16"/>
      <c r="AH95" s="422"/>
      <c r="AI95" s="422"/>
      <c r="AJ95" s="422"/>
      <c r="AK95" s="422"/>
      <c r="AL95" s="1013"/>
      <c r="AM95" s="1013"/>
      <c r="AN95" s="1013"/>
      <c r="AO95" s="1013"/>
    </row>
    <row r="96" spans="1:41" ht="48.75" x14ac:dyDescent="0.25">
      <c r="A96" s="289"/>
      <c r="B96" s="68" t="s">
        <v>337</v>
      </c>
      <c r="C96" s="108" t="s">
        <v>25</v>
      </c>
      <c r="D96" s="26">
        <f t="shared" si="37"/>
        <v>100</v>
      </c>
      <c r="E96" s="24">
        <f t="shared" si="41"/>
        <v>0</v>
      </c>
      <c r="F96" s="24">
        <f t="shared" si="41"/>
        <v>0</v>
      </c>
      <c r="G96" s="24">
        <f t="shared" si="41"/>
        <v>100</v>
      </c>
      <c r="H96" s="991"/>
      <c r="I96" s="991"/>
      <c r="J96" s="967"/>
      <c r="K96" s="967"/>
      <c r="L96" s="967"/>
      <c r="M96" s="967"/>
      <c r="N96" s="975"/>
      <c r="O96" s="975"/>
      <c r="P96" s="975">
        <f t="shared" si="44"/>
        <v>100</v>
      </c>
      <c r="Q96" s="975"/>
      <c r="R96" s="967"/>
      <c r="S96" s="967">
        <v>100</v>
      </c>
      <c r="T96" s="24"/>
      <c r="U96" s="24"/>
      <c r="V96" s="24"/>
      <c r="W96" s="24"/>
      <c r="X96" s="243"/>
      <c r="Y96" s="243"/>
      <c r="Z96" s="243"/>
      <c r="AA96" s="243"/>
      <c r="AB96" s="243"/>
      <c r="AC96" s="243"/>
      <c r="AD96" s="16"/>
      <c r="AE96" s="16"/>
      <c r="AF96" s="16"/>
      <c r="AG96" s="16"/>
      <c r="AH96" s="422"/>
      <c r="AI96" s="422"/>
      <c r="AJ96" s="422"/>
      <c r="AK96" s="422"/>
      <c r="AL96" s="1013"/>
      <c r="AM96" s="1013"/>
      <c r="AN96" s="1013"/>
      <c r="AO96" s="1013"/>
    </row>
    <row r="97" spans="1:41" ht="31.5" customHeight="1" x14ac:dyDescent="0.25">
      <c r="A97" s="289"/>
      <c r="B97" s="71" t="s">
        <v>342</v>
      </c>
      <c r="C97" s="108" t="s">
        <v>294</v>
      </c>
      <c r="D97" s="26">
        <f t="shared" si="37"/>
        <v>35</v>
      </c>
      <c r="E97" s="24">
        <f t="shared" si="41"/>
        <v>0</v>
      </c>
      <c r="F97" s="24">
        <f t="shared" si="41"/>
        <v>0</v>
      </c>
      <c r="G97" s="24">
        <f t="shared" si="41"/>
        <v>35</v>
      </c>
      <c r="H97" s="991"/>
      <c r="I97" s="991"/>
      <c r="J97" s="967"/>
      <c r="K97" s="967"/>
      <c r="L97" s="967"/>
      <c r="M97" s="967"/>
      <c r="N97" s="975"/>
      <c r="O97" s="975"/>
      <c r="P97" s="975">
        <f t="shared" si="44"/>
        <v>35</v>
      </c>
      <c r="Q97" s="975"/>
      <c r="R97" s="967"/>
      <c r="S97" s="967">
        <v>35</v>
      </c>
      <c r="T97" s="26"/>
      <c r="U97" s="26"/>
      <c r="V97" s="26"/>
      <c r="W97" s="26"/>
      <c r="X97" s="262"/>
      <c r="Y97" s="262"/>
      <c r="Z97" s="262"/>
      <c r="AA97" s="262"/>
      <c r="AB97" s="262"/>
      <c r="AC97" s="262"/>
      <c r="AD97" s="320"/>
      <c r="AE97" s="320"/>
      <c r="AF97" s="320"/>
      <c r="AG97" s="320"/>
      <c r="AH97" s="422"/>
      <c r="AI97" s="422"/>
      <c r="AJ97" s="422"/>
      <c r="AK97" s="422"/>
      <c r="AL97" s="1013"/>
      <c r="AM97" s="1013"/>
      <c r="AN97" s="1013"/>
      <c r="AO97" s="1013"/>
    </row>
    <row r="98" spans="1:41" ht="39.75" customHeight="1" x14ac:dyDescent="0.25">
      <c r="A98" s="289"/>
      <c r="B98" s="108" t="s">
        <v>348</v>
      </c>
      <c r="C98" s="108" t="s">
        <v>350</v>
      </c>
      <c r="D98" s="26">
        <f t="shared" si="37"/>
        <v>66.7</v>
      </c>
      <c r="E98" s="24">
        <f t="shared" si="41"/>
        <v>0</v>
      </c>
      <c r="F98" s="24">
        <f t="shared" si="41"/>
        <v>0</v>
      </c>
      <c r="G98" s="24">
        <f t="shared" si="41"/>
        <v>66.7</v>
      </c>
      <c r="H98" s="991"/>
      <c r="I98" s="991"/>
      <c r="J98" s="967"/>
      <c r="K98" s="967"/>
      <c r="L98" s="967"/>
      <c r="M98" s="967"/>
      <c r="N98" s="975"/>
      <c r="O98" s="975"/>
      <c r="P98" s="975">
        <f t="shared" si="44"/>
        <v>66.7</v>
      </c>
      <c r="Q98" s="975"/>
      <c r="R98" s="967"/>
      <c r="S98" s="967">
        <v>66.7</v>
      </c>
      <c r="T98" s="26"/>
      <c r="U98" s="26"/>
      <c r="V98" s="26"/>
      <c r="W98" s="26"/>
      <c r="X98" s="262"/>
      <c r="Y98" s="262"/>
      <c r="Z98" s="262"/>
      <c r="AA98" s="262"/>
      <c r="AB98" s="262"/>
      <c r="AC98" s="262"/>
      <c r="AD98" s="320"/>
      <c r="AE98" s="320"/>
      <c r="AF98" s="320"/>
      <c r="AG98" s="320"/>
      <c r="AH98" s="422"/>
      <c r="AI98" s="422"/>
      <c r="AJ98" s="422"/>
      <c r="AK98" s="422"/>
      <c r="AL98" s="1013"/>
      <c r="AM98" s="1013"/>
      <c r="AN98" s="1013"/>
      <c r="AO98" s="1013"/>
    </row>
    <row r="99" spans="1:41" ht="27.75" customHeight="1" x14ac:dyDescent="0.25">
      <c r="A99" s="289"/>
      <c r="B99" s="108" t="s">
        <v>357</v>
      </c>
      <c r="C99" s="108" t="s">
        <v>353</v>
      </c>
      <c r="D99" s="26">
        <f t="shared" si="37"/>
        <v>60</v>
      </c>
      <c r="E99" s="24">
        <f t="shared" si="41"/>
        <v>0</v>
      </c>
      <c r="F99" s="24">
        <f t="shared" si="41"/>
        <v>0</v>
      </c>
      <c r="G99" s="24">
        <f t="shared" si="41"/>
        <v>60</v>
      </c>
      <c r="H99" s="991"/>
      <c r="I99" s="991"/>
      <c r="J99" s="967"/>
      <c r="K99" s="967"/>
      <c r="L99" s="967"/>
      <c r="M99" s="967"/>
      <c r="N99" s="975"/>
      <c r="O99" s="975"/>
      <c r="P99" s="975">
        <f t="shared" si="44"/>
        <v>30</v>
      </c>
      <c r="Q99" s="975"/>
      <c r="R99" s="967"/>
      <c r="S99" s="967">
        <v>30</v>
      </c>
      <c r="T99" s="251">
        <f t="shared" ref="T99:T102" si="45">U99+V99+W99</f>
        <v>30</v>
      </c>
      <c r="U99" s="26"/>
      <c r="V99" s="26"/>
      <c r="W99" s="26">
        <v>30</v>
      </c>
      <c r="X99" s="262"/>
      <c r="Y99" s="262"/>
      <c r="Z99" s="262"/>
      <c r="AA99" s="262"/>
      <c r="AB99" s="262"/>
      <c r="AC99" s="262"/>
      <c r="AD99" s="320"/>
      <c r="AE99" s="320"/>
      <c r="AF99" s="320"/>
      <c r="AG99" s="320"/>
      <c r="AH99" s="422"/>
      <c r="AI99" s="422"/>
      <c r="AJ99" s="422"/>
      <c r="AK99" s="422"/>
      <c r="AL99" s="1013"/>
      <c r="AM99" s="1013"/>
      <c r="AN99" s="1013"/>
      <c r="AO99" s="1013"/>
    </row>
    <row r="100" spans="1:41" ht="31.9" customHeight="1" x14ac:dyDescent="0.25">
      <c r="A100" s="289"/>
      <c r="B100" s="108" t="s">
        <v>355</v>
      </c>
      <c r="C100" s="108" t="s">
        <v>26</v>
      </c>
      <c r="D100" s="26">
        <f t="shared" si="37"/>
        <v>170</v>
      </c>
      <c r="E100" s="24">
        <f t="shared" si="41"/>
        <v>0</v>
      </c>
      <c r="F100" s="24">
        <f t="shared" si="41"/>
        <v>0</v>
      </c>
      <c r="G100" s="24">
        <f t="shared" si="41"/>
        <v>170</v>
      </c>
      <c r="H100" s="991"/>
      <c r="I100" s="991"/>
      <c r="J100" s="967"/>
      <c r="K100" s="967"/>
      <c r="L100" s="967"/>
      <c r="M100" s="967"/>
      <c r="N100" s="975"/>
      <c r="O100" s="975"/>
      <c r="P100" s="975">
        <f t="shared" si="44"/>
        <v>170</v>
      </c>
      <c r="Q100" s="975"/>
      <c r="R100" s="967"/>
      <c r="S100" s="967">
        <v>170</v>
      </c>
      <c r="T100" s="251">
        <f t="shared" si="45"/>
        <v>0</v>
      </c>
      <c r="U100" s="26"/>
      <c r="V100" s="26"/>
      <c r="W100" s="26"/>
      <c r="X100" s="262"/>
      <c r="Y100" s="262"/>
      <c r="Z100" s="262"/>
      <c r="AA100" s="262"/>
      <c r="AB100" s="262"/>
      <c r="AC100" s="262"/>
      <c r="AD100" s="320"/>
      <c r="AE100" s="320"/>
      <c r="AF100" s="320"/>
      <c r="AG100" s="320"/>
      <c r="AH100" s="422"/>
      <c r="AI100" s="422"/>
      <c r="AJ100" s="422"/>
      <c r="AK100" s="422"/>
      <c r="AL100" s="1013"/>
      <c r="AM100" s="1013"/>
      <c r="AN100" s="1013"/>
      <c r="AO100" s="1013"/>
    </row>
    <row r="101" spans="1:41" ht="29.45" customHeight="1" x14ac:dyDescent="0.25">
      <c r="A101" s="289"/>
      <c r="B101" s="108" t="s">
        <v>356</v>
      </c>
      <c r="C101" s="108" t="s">
        <v>151</v>
      </c>
      <c r="D101" s="26">
        <f t="shared" si="37"/>
        <v>36.241999999999997</v>
      </c>
      <c r="E101" s="24">
        <f t="shared" si="41"/>
        <v>0</v>
      </c>
      <c r="F101" s="24">
        <f t="shared" si="41"/>
        <v>0</v>
      </c>
      <c r="G101" s="24">
        <f t="shared" si="41"/>
        <v>36.241999999999997</v>
      </c>
      <c r="H101" s="991"/>
      <c r="I101" s="991"/>
      <c r="J101" s="967"/>
      <c r="K101" s="967"/>
      <c r="L101" s="967"/>
      <c r="M101" s="967"/>
      <c r="N101" s="975"/>
      <c r="O101" s="975"/>
      <c r="P101" s="975">
        <f t="shared" si="44"/>
        <v>36.241999999999997</v>
      </c>
      <c r="Q101" s="975"/>
      <c r="R101" s="967"/>
      <c r="S101" s="967">
        <v>36.241999999999997</v>
      </c>
      <c r="T101" s="251">
        <f t="shared" si="45"/>
        <v>0</v>
      </c>
      <c r="U101" s="26"/>
      <c r="V101" s="26"/>
      <c r="W101" s="26"/>
      <c r="X101" s="262"/>
      <c r="Y101" s="262"/>
      <c r="Z101" s="262"/>
      <c r="AA101" s="262"/>
      <c r="AB101" s="262"/>
      <c r="AC101" s="262"/>
      <c r="AD101" s="320"/>
      <c r="AE101" s="320"/>
      <c r="AF101" s="320"/>
      <c r="AG101" s="320"/>
      <c r="AH101" s="422"/>
      <c r="AI101" s="422"/>
      <c r="AJ101" s="422"/>
      <c r="AK101" s="422"/>
      <c r="AL101" s="1013"/>
      <c r="AM101" s="1013"/>
      <c r="AN101" s="1013"/>
      <c r="AO101" s="1013"/>
    </row>
    <row r="102" spans="1:41" ht="42.6" customHeight="1" x14ac:dyDescent="0.25">
      <c r="A102" s="289"/>
      <c r="B102" s="108" t="s">
        <v>437</v>
      </c>
      <c r="C102" s="108" t="s">
        <v>625</v>
      </c>
      <c r="D102" s="26">
        <f t="shared" si="37"/>
        <v>275.83</v>
      </c>
      <c r="E102" s="24">
        <f t="shared" si="41"/>
        <v>0</v>
      </c>
      <c r="F102" s="24">
        <f t="shared" si="41"/>
        <v>0</v>
      </c>
      <c r="G102" s="24">
        <f t="shared" si="41"/>
        <v>275.83</v>
      </c>
      <c r="H102" s="991"/>
      <c r="I102" s="991"/>
      <c r="J102" s="967"/>
      <c r="K102" s="967"/>
      <c r="L102" s="967"/>
      <c r="M102" s="967"/>
      <c r="N102" s="975"/>
      <c r="O102" s="975"/>
      <c r="P102" s="975">
        <f t="shared" si="44"/>
        <v>125.83</v>
      </c>
      <c r="Q102" s="975"/>
      <c r="R102" s="967"/>
      <c r="S102" s="967">
        <v>125.83</v>
      </c>
      <c r="T102" s="251">
        <f t="shared" si="45"/>
        <v>150</v>
      </c>
      <c r="U102" s="26"/>
      <c r="V102" s="26"/>
      <c r="W102" s="26">
        <v>150</v>
      </c>
      <c r="X102" s="262"/>
      <c r="Y102" s="262"/>
      <c r="Z102" s="262"/>
      <c r="AA102" s="262"/>
      <c r="AB102" s="262"/>
      <c r="AC102" s="262"/>
      <c r="AD102" s="320"/>
      <c r="AE102" s="320"/>
      <c r="AF102" s="320"/>
      <c r="AG102" s="320"/>
      <c r="AH102" s="422"/>
      <c r="AI102" s="422"/>
      <c r="AJ102" s="422"/>
      <c r="AK102" s="422"/>
      <c r="AL102" s="1013"/>
      <c r="AM102" s="1013"/>
      <c r="AN102" s="1013"/>
      <c r="AO102" s="1013"/>
    </row>
    <row r="103" spans="1:41" ht="21" customHeight="1" x14ac:dyDescent="0.25">
      <c r="A103" s="289"/>
      <c r="B103" s="155" t="s">
        <v>435</v>
      </c>
      <c r="C103" s="155" t="s">
        <v>27</v>
      </c>
      <c r="D103" s="26">
        <f t="shared" si="37"/>
        <v>42.61</v>
      </c>
      <c r="E103" s="24">
        <f t="shared" si="41"/>
        <v>0</v>
      </c>
      <c r="F103" s="24">
        <f t="shared" si="41"/>
        <v>0</v>
      </c>
      <c r="G103" s="24">
        <f t="shared" si="41"/>
        <v>42.61</v>
      </c>
      <c r="H103" s="991"/>
      <c r="I103" s="991"/>
      <c r="J103" s="967"/>
      <c r="K103" s="967"/>
      <c r="L103" s="967"/>
      <c r="M103" s="967"/>
      <c r="N103" s="975"/>
      <c r="O103" s="975"/>
      <c r="P103" s="975">
        <f t="shared" si="44"/>
        <v>42.61</v>
      </c>
      <c r="Q103" s="975"/>
      <c r="R103" s="967"/>
      <c r="S103" s="967">
        <v>42.61</v>
      </c>
      <c r="T103" s="26"/>
      <c r="U103" s="26"/>
      <c r="V103" s="26"/>
      <c r="W103" s="26"/>
      <c r="X103" s="262"/>
      <c r="Y103" s="262"/>
      <c r="Z103" s="262"/>
      <c r="AA103" s="262"/>
      <c r="AB103" s="262"/>
      <c r="AC103" s="262"/>
      <c r="AD103" s="320"/>
      <c r="AE103" s="320"/>
      <c r="AF103" s="320"/>
      <c r="AG103" s="320"/>
      <c r="AH103" s="422"/>
      <c r="AI103" s="422"/>
      <c r="AJ103" s="422"/>
      <c r="AK103" s="422"/>
      <c r="AL103" s="1013"/>
      <c r="AM103" s="1013"/>
      <c r="AN103" s="1013"/>
      <c r="AO103" s="1013"/>
    </row>
    <row r="104" spans="1:41" ht="39" customHeight="1" x14ac:dyDescent="0.25">
      <c r="A104" s="289"/>
      <c r="B104" s="440" t="s">
        <v>434</v>
      </c>
      <c r="C104" s="155" t="s">
        <v>95</v>
      </c>
      <c r="D104" s="26">
        <f t="shared" si="37"/>
        <v>60</v>
      </c>
      <c r="E104" s="24">
        <f t="shared" si="41"/>
        <v>0</v>
      </c>
      <c r="F104" s="24">
        <f t="shared" si="41"/>
        <v>0</v>
      </c>
      <c r="G104" s="24">
        <f t="shared" si="41"/>
        <v>60</v>
      </c>
      <c r="H104" s="991"/>
      <c r="I104" s="991"/>
      <c r="J104" s="967"/>
      <c r="K104" s="967"/>
      <c r="L104" s="967"/>
      <c r="M104" s="967"/>
      <c r="N104" s="975"/>
      <c r="O104" s="975"/>
      <c r="P104" s="975">
        <f t="shared" si="44"/>
        <v>60</v>
      </c>
      <c r="Q104" s="975"/>
      <c r="R104" s="967"/>
      <c r="S104" s="967">
        <v>60</v>
      </c>
      <c r="T104" s="26"/>
      <c r="U104" s="26"/>
      <c r="V104" s="26"/>
      <c r="W104" s="26"/>
      <c r="X104" s="262"/>
      <c r="Y104" s="262"/>
      <c r="Z104" s="262"/>
      <c r="AA104" s="262"/>
      <c r="AB104" s="262"/>
      <c r="AC104" s="262"/>
      <c r="AD104" s="320"/>
      <c r="AE104" s="320"/>
      <c r="AF104" s="320"/>
      <c r="AG104" s="320"/>
      <c r="AH104" s="422"/>
      <c r="AI104" s="422"/>
      <c r="AJ104" s="422"/>
      <c r="AK104" s="422"/>
      <c r="AL104" s="1013"/>
      <c r="AM104" s="1013"/>
      <c r="AN104" s="1013"/>
      <c r="AO104" s="1013"/>
    </row>
    <row r="105" spans="1:41" ht="15.6" customHeight="1" x14ac:dyDescent="0.25">
      <c r="A105" s="289"/>
      <c r="B105" s="465" t="s">
        <v>438</v>
      </c>
      <c r="C105" s="155" t="s">
        <v>439</v>
      </c>
      <c r="D105" s="26">
        <f t="shared" si="37"/>
        <v>30</v>
      </c>
      <c r="E105" s="24">
        <f t="shared" si="41"/>
        <v>0</v>
      </c>
      <c r="F105" s="24">
        <f t="shared" si="41"/>
        <v>0</v>
      </c>
      <c r="G105" s="24">
        <f t="shared" si="41"/>
        <v>30</v>
      </c>
      <c r="H105" s="991"/>
      <c r="I105" s="991"/>
      <c r="J105" s="967"/>
      <c r="K105" s="967"/>
      <c r="L105" s="967"/>
      <c r="M105" s="967"/>
      <c r="N105" s="975"/>
      <c r="O105" s="975"/>
      <c r="P105" s="975">
        <f t="shared" si="44"/>
        <v>30</v>
      </c>
      <c r="Q105" s="975"/>
      <c r="R105" s="967"/>
      <c r="S105" s="967">
        <v>30</v>
      </c>
      <c r="T105" s="26"/>
      <c r="U105" s="26"/>
      <c r="V105" s="26"/>
      <c r="W105" s="26"/>
      <c r="X105" s="262"/>
      <c r="Y105" s="262"/>
      <c r="Z105" s="262"/>
      <c r="AA105" s="262"/>
      <c r="AB105" s="262"/>
      <c r="AC105" s="262"/>
      <c r="AD105" s="320"/>
      <c r="AE105" s="320"/>
      <c r="AF105" s="320"/>
      <c r="AG105" s="320"/>
      <c r="AH105" s="422"/>
      <c r="AI105" s="422"/>
      <c r="AJ105" s="422"/>
      <c r="AK105" s="422"/>
      <c r="AL105" s="1013"/>
      <c r="AM105" s="1013"/>
      <c r="AN105" s="1013"/>
      <c r="AO105" s="1013"/>
    </row>
    <row r="106" spans="1:41" ht="27" customHeight="1" x14ac:dyDescent="0.25">
      <c r="A106" s="289"/>
      <c r="B106" s="465" t="s">
        <v>440</v>
      </c>
      <c r="C106" s="155" t="s">
        <v>18</v>
      </c>
      <c r="D106" s="26">
        <f t="shared" si="37"/>
        <v>12</v>
      </c>
      <c r="E106" s="24">
        <f t="shared" si="41"/>
        <v>0</v>
      </c>
      <c r="F106" s="24">
        <f t="shared" si="41"/>
        <v>0</v>
      </c>
      <c r="G106" s="24">
        <f t="shared" si="41"/>
        <v>12</v>
      </c>
      <c r="H106" s="991"/>
      <c r="I106" s="991"/>
      <c r="J106" s="967"/>
      <c r="K106" s="967"/>
      <c r="L106" s="967"/>
      <c r="M106" s="967"/>
      <c r="N106" s="975"/>
      <c r="O106" s="975"/>
      <c r="P106" s="975">
        <f t="shared" si="44"/>
        <v>12</v>
      </c>
      <c r="Q106" s="975"/>
      <c r="R106" s="967"/>
      <c r="S106" s="967">
        <v>12</v>
      </c>
      <c r="T106" s="26"/>
      <c r="U106" s="26"/>
      <c r="V106" s="26"/>
      <c r="W106" s="26"/>
      <c r="X106" s="262"/>
      <c r="Y106" s="262"/>
      <c r="Z106" s="262"/>
      <c r="AA106" s="262"/>
      <c r="AB106" s="262"/>
      <c r="AC106" s="262"/>
      <c r="AD106" s="320"/>
      <c r="AE106" s="320"/>
      <c r="AF106" s="320"/>
      <c r="AG106" s="320"/>
      <c r="AH106" s="422"/>
      <c r="AI106" s="422"/>
      <c r="AJ106" s="422"/>
      <c r="AK106" s="422"/>
      <c r="AL106" s="1013"/>
      <c r="AM106" s="1013"/>
      <c r="AN106" s="1013"/>
      <c r="AO106" s="1013"/>
    </row>
    <row r="107" spans="1:41" ht="1.1499999999999999" hidden="1" customHeight="1" x14ac:dyDescent="0.25">
      <c r="A107" s="289"/>
      <c r="B107" s="465"/>
      <c r="C107" s="155"/>
      <c r="D107" s="26">
        <f t="shared" si="37"/>
        <v>0</v>
      </c>
      <c r="E107" s="26"/>
      <c r="F107" s="26"/>
      <c r="G107" s="24">
        <f t="shared" ref="E107:G141" si="46">K107+O107+S107+W107+AG107+AK107+AO107</f>
        <v>0</v>
      </c>
      <c r="H107" s="991"/>
      <c r="I107" s="991"/>
      <c r="J107" s="967"/>
      <c r="K107" s="967"/>
      <c r="L107" s="967"/>
      <c r="M107" s="967"/>
      <c r="N107" s="975"/>
      <c r="O107" s="975"/>
      <c r="P107" s="975">
        <f t="shared" si="44"/>
        <v>0</v>
      </c>
      <c r="Q107" s="975"/>
      <c r="R107" s="967"/>
      <c r="S107" s="967"/>
      <c r="T107" s="26"/>
      <c r="U107" s="26"/>
      <c r="V107" s="26"/>
      <c r="W107" s="26"/>
      <c r="X107" s="262"/>
      <c r="Y107" s="262"/>
      <c r="Z107" s="262"/>
      <c r="AA107" s="262"/>
      <c r="AB107" s="262"/>
      <c r="AC107" s="262"/>
      <c r="AD107" s="320"/>
      <c r="AE107" s="320"/>
      <c r="AF107" s="320"/>
      <c r="AG107" s="320"/>
      <c r="AH107" s="422"/>
      <c r="AI107" s="422"/>
      <c r="AJ107" s="422"/>
      <c r="AK107" s="422"/>
      <c r="AL107" s="1013"/>
      <c r="AM107" s="1013"/>
      <c r="AN107" s="1013"/>
      <c r="AO107" s="1013"/>
    </row>
    <row r="108" spans="1:41" ht="21.6" customHeight="1" x14ac:dyDescent="0.25">
      <c r="A108" s="289"/>
      <c r="B108" s="465" t="s">
        <v>443</v>
      </c>
      <c r="C108" s="155" t="s">
        <v>444</v>
      </c>
      <c r="D108" s="26">
        <f t="shared" si="37"/>
        <v>120</v>
      </c>
      <c r="E108" s="24">
        <f t="shared" ref="E108:F114" si="47">I108+M108+Q108+U108+AE108+AI108+AM108</f>
        <v>0</v>
      </c>
      <c r="F108" s="24">
        <f t="shared" si="47"/>
        <v>0</v>
      </c>
      <c r="G108" s="24">
        <f t="shared" si="46"/>
        <v>120</v>
      </c>
      <c r="H108" s="991"/>
      <c r="I108" s="991"/>
      <c r="J108" s="967"/>
      <c r="K108" s="967"/>
      <c r="L108" s="967"/>
      <c r="M108" s="967"/>
      <c r="N108" s="975"/>
      <c r="O108" s="975"/>
      <c r="P108" s="975">
        <f t="shared" si="44"/>
        <v>30</v>
      </c>
      <c r="Q108" s="975"/>
      <c r="R108" s="967"/>
      <c r="S108" s="967">
        <v>30</v>
      </c>
      <c r="T108" s="251">
        <f t="shared" ref="T108:T130" si="48">U108+V108+W108</f>
        <v>90</v>
      </c>
      <c r="U108" s="26"/>
      <c r="V108" s="26"/>
      <c r="W108" s="26">
        <v>90</v>
      </c>
      <c r="X108" s="262"/>
      <c r="Y108" s="262"/>
      <c r="Z108" s="262"/>
      <c r="AA108" s="262"/>
      <c r="AB108" s="262"/>
      <c r="AC108" s="262"/>
      <c r="AD108" s="251">
        <f t="shared" ref="AD108:AD109" si="49">AE108+AF108+AG108</f>
        <v>0</v>
      </c>
      <c r="AE108" s="320"/>
      <c r="AF108" s="320"/>
      <c r="AG108" s="320"/>
      <c r="AH108" s="251">
        <f t="shared" ref="AH108:AH109" si="50">AI108+AJ108+AK108</f>
        <v>0</v>
      </c>
      <c r="AI108" s="422"/>
      <c r="AJ108" s="422"/>
      <c r="AK108" s="422"/>
      <c r="AL108" s="1013"/>
      <c r="AM108" s="1013"/>
      <c r="AN108" s="1013"/>
      <c r="AO108" s="1013"/>
    </row>
    <row r="109" spans="1:41" ht="45.75" customHeight="1" x14ac:dyDescent="0.25">
      <c r="A109" s="289"/>
      <c r="B109" s="465" t="s">
        <v>592</v>
      </c>
      <c r="C109" s="155" t="s">
        <v>113</v>
      </c>
      <c r="D109" s="26">
        <f t="shared" si="37"/>
        <v>848.73360000000002</v>
      </c>
      <c r="E109" s="24">
        <f t="shared" si="47"/>
        <v>0</v>
      </c>
      <c r="F109" s="24">
        <f t="shared" si="47"/>
        <v>0</v>
      </c>
      <c r="G109" s="24">
        <f t="shared" si="46"/>
        <v>848.73360000000002</v>
      </c>
      <c r="H109" s="991"/>
      <c r="I109" s="991"/>
      <c r="J109" s="967"/>
      <c r="K109" s="967"/>
      <c r="L109" s="967"/>
      <c r="M109" s="967"/>
      <c r="N109" s="975"/>
      <c r="O109" s="975"/>
      <c r="P109" s="975"/>
      <c r="Q109" s="975"/>
      <c r="R109" s="967"/>
      <c r="S109" s="967"/>
      <c r="T109" s="251">
        <f t="shared" si="48"/>
        <v>848.73360000000002</v>
      </c>
      <c r="U109" s="26"/>
      <c r="V109" s="26"/>
      <c r="W109" s="26">
        <v>848.73360000000002</v>
      </c>
      <c r="X109" s="262"/>
      <c r="Y109" s="262"/>
      <c r="Z109" s="262"/>
      <c r="AA109" s="262"/>
      <c r="AB109" s="262"/>
      <c r="AC109" s="262"/>
      <c r="AD109" s="251">
        <f t="shared" si="49"/>
        <v>0</v>
      </c>
      <c r="AE109" s="320"/>
      <c r="AF109" s="320"/>
      <c r="AG109" s="320"/>
      <c r="AH109" s="251">
        <f t="shared" si="50"/>
        <v>0</v>
      </c>
      <c r="AI109" s="422"/>
      <c r="AJ109" s="422"/>
      <c r="AK109" s="422"/>
      <c r="AL109" s="1013"/>
      <c r="AM109" s="1013"/>
      <c r="AN109" s="1013"/>
      <c r="AO109" s="1013"/>
    </row>
    <row r="110" spans="1:41" ht="30" customHeight="1" x14ac:dyDescent="0.25">
      <c r="A110" s="289"/>
      <c r="B110" s="465" t="s">
        <v>557</v>
      </c>
      <c r="C110" s="155" t="s">
        <v>27</v>
      </c>
      <c r="D110" s="26">
        <f t="shared" si="37"/>
        <v>70</v>
      </c>
      <c r="E110" s="24">
        <f t="shared" si="47"/>
        <v>0</v>
      </c>
      <c r="F110" s="24">
        <f t="shared" si="47"/>
        <v>0</v>
      </c>
      <c r="G110" s="24">
        <f t="shared" si="46"/>
        <v>70</v>
      </c>
      <c r="H110" s="991"/>
      <c r="I110" s="991"/>
      <c r="J110" s="967"/>
      <c r="K110" s="967"/>
      <c r="L110" s="967"/>
      <c r="M110" s="967"/>
      <c r="N110" s="975"/>
      <c r="O110" s="975"/>
      <c r="P110" s="975"/>
      <c r="Q110" s="975"/>
      <c r="R110" s="967"/>
      <c r="S110" s="967"/>
      <c r="T110" s="251">
        <f t="shared" si="48"/>
        <v>70</v>
      </c>
      <c r="U110" s="26"/>
      <c r="V110" s="26"/>
      <c r="W110" s="26">
        <v>70</v>
      </c>
      <c r="X110" s="262"/>
      <c r="Y110" s="262"/>
      <c r="Z110" s="262"/>
      <c r="AA110" s="262"/>
      <c r="AB110" s="262"/>
      <c r="AC110" s="262"/>
      <c r="AD110" s="251"/>
      <c r="AE110" s="320"/>
      <c r="AF110" s="320"/>
      <c r="AG110" s="320"/>
      <c r="AH110" s="251"/>
      <c r="AI110" s="422"/>
      <c r="AJ110" s="422"/>
      <c r="AK110" s="422"/>
      <c r="AL110" s="1013"/>
      <c r="AM110" s="1013"/>
      <c r="AN110" s="1013"/>
      <c r="AO110" s="1013"/>
    </row>
    <row r="111" spans="1:41" ht="44.25" customHeight="1" x14ac:dyDescent="0.25">
      <c r="A111" s="289"/>
      <c r="B111" s="465" t="s">
        <v>586</v>
      </c>
      <c r="C111" s="155" t="s">
        <v>26</v>
      </c>
      <c r="D111" s="26">
        <f t="shared" si="37"/>
        <v>25</v>
      </c>
      <c r="E111" s="24">
        <f t="shared" si="47"/>
        <v>0</v>
      </c>
      <c r="F111" s="24">
        <f t="shared" si="47"/>
        <v>0</v>
      </c>
      <c r="G111" s="24">
        <f t="shared" si="46"/>
        <v>25</v>
      </c>
      <c r="H111" s="991"/>
      <c r="I111" s="991"/>
      <c r="J111" s="967"/>
      <c r="K111" s="967"/>
      <c r="L111" s="967"/>
      <c r="M111" s="967"/>
      <c r="N111" s="975"/>
      <c r="O111" s="975"/>
      <c r="P111" s="975"/>
      <c r="Q111" s="975"/>
      <c r="R111" s="967"/>
      <c r="S111" s="967"/>
      <c r="T111" s="251">
        <f t="shared" si="48"/>
        <v>25</v>
      </c>
      <c r="U111" s="26"/>
      <c r="V111" s="26"/>
      <c r="W111" s="26">
        <v>25</v>
      </c>
      <c r="X111" s="262"/>
      <c r="Y111" s="262"/>
      <c r="Z111" s="262"/>
      <c r="AA111" s="262"/>
      <c r="AB111" s="262"/>
      <c r="AC111" s="262"/>
      <c r="AD111" s="251"/>
      <c r="AE111" s="320"/>
      <c r="AF111" s="320"/>
      <c r="AG111" s="320"/>
      <c r="AH111" s="251"/>
      <c r="AI111" s="422"/>
      <c r="AJ111" s="422"/>
      <c r="AK111" s="422"/>
      <c r="AL111" s="1013"/>
      <c r="AM111" s="1013"/>
      <c r="AN111" s="1013"/>
      <c r="AO111" s="1013"/>
    </row>
    <row r="112" spans="1:41" ht="27" customHeight="1" x14ac:dyDescent="0.25">
      <c r="A112" s="289"/>
      <c r="B112" s="465" t="s">
        <v>558</v>
      </c>
      <c r="C112" s="155" t="s">
        <v>26</v>
      </c>
      <c r="D112" s="26">
        <f t="shared" si="37"/>
        <v>113.3</v>
      </c>
      <c r="E112" s="24">
        <f t="shared" si="47"/>
        <v>0</v>
      </c>
      <c r="F112" s="24">
        <f t="shared" si="47"/>
        <v>0</v>
      </c>
      <c r="G112" s="24">
        <f t="shared" si="46"/>
        <v>113.3</v>
      </c>
      <c r="H112" s="991"/>
      <c r="I112" s="991"/>
      <c r="J112" s="967"/>
      <c r="K112" s="967"/>
      <c r="L112" s="967"/>
      <c r="M112" s="967"/>
      <c r="N112" s="975"/>
      <c r="O112" s="975"/>
      <c r="P112" s="975"/>
      <c r="Q112" s="975"/>
      <c r="R112" s="967"/>
      <c r="S112" s="967"/>
      <c r="T112" s="251">
        <f t="shared" si="48"/>
        <v>113.3</v>
      </c>
      <c r="U112" s="26"/>
      <c r="V112" s="26"/>
      <c r="W112" s="26">
        <v>113.3</v>
      </c>
      <c r="X112" s="262"/>
      <c r="Y112" s="262"/>
      <c r="Z112" s="262"/>
      <c r="AA112" s="262"/>
      <c r="AB112" s="262"/>
      <c r="AC112" s="262"/>
      <c r="AD112" s="251"/>
      <c r="AE112" s="320"/>
      <c r="AF112" s="320"/>
      <c r="AG112" s="320"/>
      <c r="AH112" s="251"/>
      <c r="AI112" s="422"/>
      <c r="AJ112" s="422"/>
      <c r="AK112" s="422"/>
      <c r="AL112" s="1013"/>
      <c r="AM112" s="1013"/>
      <c r="AN112" s="1013"/>
      <c r="AO112" s="1013"/>
    </row>
    <row r="113" spans="1:41" ht="32.25" customHeight="1" x14ac:dyDescent="0.25">
      <c r="A113" s="289"/>
      <c r="B113" s="465" t="s">
        <v>593</v>
      </c>
      <c r="C113" s="155" t="s">
        <v>637</v>
      </c>
      <c r="D113" s="26">
        <f t="shared" si="37"/>
        <v>619.5</v>
      </c>
      <c r="E113" s="24">
        <f t="shared" si="47"/>
        <v>0</v>
      </c>
      <c r="F113" s="24">
        <f t="shared" si="47"/>
        <v>0</v>
      </c>
      <c r="G113" s="24">
        <f t="shared" si="46"/>
        <v>619.5</v>
      </c>
      <c r="H113" s="991"/>
      <c r="I113" s="991"/>
      <c r="J113" s="967"/>
      <c r="K113" s="967"/>
      <c r="L113" s="967"/>
      <c r="M113" s="967"/>
      <c r="N113" s="975"/>
      <c r="O113" s="975"/>
      <c r="P113" s="975"/>
      <c r="Q113" s="975"/>
      <c r="R113" s="967"/>
      <c r="S113" s="967"/>
      <c r="T113" s="251">
        <f t="shared" si="48"/>
        <v>180.1</v>
      </c>
      <c r="U113" s="26"/>
      <c r="V113" s="26"/>
      <c r="W113" s="26">
        <v>180.1</v>
      </c>
      <c r="X113" s="262"/>
      <c r="Y113" s="262"/>
      <c r="Z113" s="262"/>
      <c r="AA113" s="262"/>
      <c r="AB113" s="262"/>
      <c r="AC113" s="262"/>
      <c r="AD113" s="251">
        <f>AE113+AF113+AG113</f>
        <v>439.4</v>
      </c>
      <c r="AE113" s="320"/>
      <c r="AF113" s="320"/>
      <c r="AG113" s="320">
        <v>439.4</v>
      </c>
      <c r="AH113" s="251"/>
      <c r="AI113" s="422"/>
      <c r="AJ113" s="422"/>
      <c r="AK113" s="422"/>
      <c r="AL113" s="1013"/>
      <c r="AM113" s="1013"/>
      <c r="AN113" s="1013"/>
      <c r="AO113" s="1013"/>
    </row>
    <row r="114" spans="1:41" ht="41.25" customHeight="1" x14ac:dyDescent="0.25">
      <c r="A114" s="289"/>
      <c r="B114" s="465" t="s">
        <v>597</v>
      </c>
      <c r="C114" s="155" t="s">
        <v>38</v>
      </c>
      <c r="D114" s="26">
        <f t="shared" si="37"/>
        <v>100</v>
      </c>
      <c r="E114" s="24">
        <f t="shared" si="47"/>
        <v>0</v>
      </c>
      <c r="F114" s="24">
        <f t="shared" si="47"/>
        <v>0</v>
      </c>
      <c r="G114" s="24">
        <f t="shared" si="46"/>
        <v>100</v>
      </c>
      <c r="H114" s="991"/>
      <c r="I114" s="991"/>
      <c r="J114" s="967"/>
      <c r="K114" s="967"/>
      <c r="L114" s="967"/>
      <c r="M114" s="967"/>
      <c r="N114" s="975"/>
      <c r="O114" s="975"/>
      <c r="P114" s="975"/>
      <c r="Q114" s="975"/>
      <c r="R114" s="967"/>
      <c r="S114" s="967"/>
      <c r="T114" s="251">
        <f t="shared" si="48"/>
        <v>100</v>
      </c>
      <c r="U114" s="26"/>
      <c r="V114" s="26"/>
      <c r="W114" s="26">
        <v>100</v>
      </c>
      <c r="X114" s="262"/>
      <c r="Y114" s="262"/>
      <c r="Z114" s="262"/>
      <c r="AA114" s="262"/>
      <c r="AB114" s="262"/>
      <c r="AC114" s="262"/>
      <c r="AD114" s="251"/>
      <c r="AE114" s="320"/>
      <c r="AF114" s="320"/>
      <c r="AG114" s="320"/>
      <c r="AH114" s="251"/>
      <c r="AI114" s="422"/>
      <c r="AJ114" s="422"/>
      <c r="AK114" s="422"/>
      <c r="AL114" s="1013"/>
      <c r="AM114" s="1013"/>
      <c r="AN114" s="1013"/>
      <c r="AO114" s="1013"/>
    </row>
    <row r="115" spans="1:41" ht="45" customHeight="1" x14ac:dyDescent="0.25">
      <c r="A115" s="289"/>
      <c r="B115" s="465" t="s">
        <v>588</v>
      </c>
      <c r="C115" s="155" t="s">
        <v>35</v>
      </c>
      <c r="D115" s="26">
        <f t="shared" si="37"/>
        <v>105.5</v>
      </c>
      <c r="E115" s="24">
        <f t="shared" si="46"/>
        <v>0</v>
      </c>
      <c r="F115" s="24">
        <f t="shared" si="46"/>
        <v>0</v>
      </c>
      <c r="G115" s="24">
        <f t="shared" si="46"/>
        <v>105.5</v>
      </c>
      <c r="H115" s="991"/>
      <c r="I115" s="991"/>
      <c r="J115" s="967"/>
      <c r="K115" s="967"/>
      <c r="L115" s="967"/>
      <c r="M115" s="967"/>
      <c r="N115" s="975"/>
      <c r="O115" s="975"/>
      <c r="P115" s="975"/>
      <c r="Q115" s="975"/>
      <c r="R115" s="967"/>
      <c r="S115" s="967"/>
      <c r="T115" s="251">
        <f t="shared" si="48"/>
        <v>105.5</v>
      </c>
      <c r="U115" s="26"/>
      <c r="V115" s="26"/>
      <c r="W115" s="26">
        <v>105.5</v>
      </c>
      <c r="X115" s="262"/>
      <c r="Y115" s="262"/>
      <c r="Z115" s="262"/>
      <c r="AA115" s="262"/>
      <c r="AB115" s="262"/>
      <c r="AC115" s="262"/>
      <c r="AD115" s="251"/>
      <c r="AE115" s="320"/>
      <c r="AF115" s="320"/>
      <c r="AG115" s="320"/>
      <c r="AH115" s="251"/>
      <c r="AI115" s="422"/>
      <c r="AJ115" s="422"/>
      <c r="AK115" s="422"/>
      <c r="AL115" s="1013"/>
      <c r="AM115" s="1013"/>
      <c r="AN115" s="1013"/>
      <c r="AO115" s="1013"/>
    </row>
    <row r="116" spans="1:41" ht="31.15" customHeight="1" x14ac:dyDescent="0.25">
      <c r="A116" s="289"/>
      <c r="B116" s="465" t="s">
        <v>589</v>
      </c>
      <c r="C116" s="155" t="s">
        <v>35</v>
      </c>
      <c r="D116" s="26">
        <f t="shared" si="37"/>
        <v>210.84299999999999</v>
      </c>
      <c r="E116" s="24">
        <f t="shared" si="46"/>
        <v>0</v>
      </c>
      <c r="F116" s="24">
        <f t="shared" si="46"/>
        <v>0</v>
      </c>
      <c r="G116" s="24">
        <f t="shared" si="46"/>
        <v>210.84299999999999</v>
      </c>
      <c r="H116" s="991"/>
      <c r="I116" s="991"/>
      <c r="J116" s="967"/>
      <c r="K116" s="967"/>
      <c r="L116" s="967"/>
      <c r="M116" s="967"/>
      <c r="N116" s="975"/>
      <c r="O116" s="975"/>
      <c r="P116" s="975"/>
      <c r="Q116" s="975"/>
      <c r="R116" s="967"/>
      <c r="S116" s="967"/>
      <c r="T116" s="251">
        <f t="shared" si="48"/>
        <v>210.84299999999999</v>
      </c>
      <c r="U116" s="26"/>
      <c r="V116" s="26"/>
      <c r="W116" s="26">
        <v>210.84299999999999</v>
      </c>
      <c r="X116" s="262"/>
      <c r="Y116" s="262"/>
      <c r="Z116" s="262"/>
      <c r="AA116" s="262"/>
      <c r="AB116" s="262"/>
      <c r="AC116" s="262"/>
      <c r="AD116" s="251"/>
      <c r="AE116" s="320"/>
      <c r="AF116" s="320"/>
      <c r="AG116" s="320"/>
      <c r="AH116" s="251"/>
      <c r="AI116" s="422"/>
      <c r="AJ116" s="422"/>
      <c r="AK116" s="422"/>
      <c r="AL116" s="1013"/>
      <c r="AM116" s="1013"/>
      <c r="AN116" s="1013"/>
      <c r="AO116" s="1013"/>
    </row>
    <row r="117" spans="1:41" ht="28.5" customHeight="1" x14ac:dyDescent="0.25">
      <c r="A117" s="289"/>
      <c r="B117" s="465" t="s">
        <v>591</v>
      </c>
      <c r="C117" s="155" t="s">
        <v>70</v>
      </c>
      <c r="D117" s="26">
        <f t="shared" ref="D117:D133" si="51">E117+F117+G117</f>
        <v>40</v>
      </c>
      <c r="E117" s="24">
        <f t="shared" si="46"/>
        <v>0</v>
      </c>
      <c r="F117" s="24">
        <f t="shared" si="46"/>
        <v>0</v>
      </c>
      <c r="G117" s="24">
        <f t="shared" si="46"/>
        <v>40</v>
      </c>
      <c r="H117" s="991"/>
      <c r="I117" s="991"/>
      <c r="J117" s="967"/>
      <c r="K117" s="967"/>
      <c r="L117" s="967"/>
      <c r="M117" s="967"/>
      <c r="N117" s="975"/>
      <c r="O117" s="975"/>
      <c r="P117" s="975"/>
      <c r="Q117" s="975"/>
      <c r="R117" s="967"/>
      <c r="S117" s="967"/>
      <c r="T117" s="251">
        <f t="shared" si="48"/>
        <v>40</v>
      </c>
      <c r="U117" s="26"/>
      <c r="V117" s="26"/>
      <c r="W117" s="26">
        <v>40</v>
      </c>
      <c r="X117" s="262"/>
      <c r="Y117" s="262"/>
      <c r="Z117" s="262"/>
      <c r="AA117" s="262"/>
      <c r="AB117" s="262"/>
      <c r="AC117" s="262"/>
      <c r="AD117" s="251"/>
      <c r="AE117" s="320"/>
      <c r="AF117" s="320"/>
      <c r="AG117" s="320"/>
      <c r="AH117" s="251"/>
      <c r="AI117" s="422"/>
      <c r="AJ117" s="422"/>
      <c r="AK117" s="422"/>
      <c r="AL117" s="1013"/>
      <c r="AM117" s="1013"/>
      <c r="AN117" s="1013"/>
      <c r="AO117" s="1013"/>
    </row>
    <row r="118" spans="1:41" ht="28.5" customHeight="1" x14ac:dyDescent="0.25">
      <c r="A118" s="289"/>
      <c r="B118" s="465" t="s">
        <v>171</v>
      </c>
      <c r="C118" s="155" t="s">
        <v>70</v>
      </c>
      <c r="D118" s="26">
        <f t="shared" si="51"/>
        <v>49.3</v>
      </c>
      <c r="E118" s="24">
        <f t="shared" si="46"/>
        <v>0</v>
      </c>
      <c r="F118" s="24">
        <f t="shared" si="46"/>
        <v>0</v>
      </c>
      <c r="G118" s="24">
        <f t="shared" si="46"/>
        <v>49.3</v>
      </c>
      <c r="H118" s="991"/>
      <c r="I118" s="991"/>
      <c r="J118" s="967"/>
      <c r="K118" s="967"/>
      <c r="L118" s="967"/>
      <c r="M118" s="967"/>
      <c r="N118" s="975"/>
      <c r="O118" s="975"/>
      <c r="P118" s="975"/>
      <c r="Q118" s="975"/>
      <c r="R118" s="967"/>
      <c r="S118" s="967"/>
      <c r="T118" s="251">
        <f t="shared" si="48"/>
        <v>49.3</v>
      </c>
      <c r="U118" s="26"/>
      <c r="V118" s="26"/>
      <c r="W118" s="26">
        <v>49.3</v>
      </c>
      <c r="X118" s="262"/>
      <c r="Y118" s="262"/>
      <c r="Z118" s="262"/>
      <c r="AA118" s="262"/>
      <c r="AB118" s="262"/>
      <c r="AC118" s="262"/>
      <c r="AD118" s="251"/>
      <c r="AE118" s="320"/>
      <c r="AF118" s="320"/>
      <c r="AG118" s="320"/>
      <c r="AH118" s="251"/>
      <c r="AI118" s="422"/>
      <c r="AJ118" s="422"/>
      <c r="AK118" s="422"/>
      <c r="AL118" s="1013"/>
      <c r="AM118" s="1013"/>
      <c r="AN118" s="1013"/>
      <c r="AO118" s="1013"/>
    </row>
    <row r="119" spans="1:41" ht="31.15" customHeight="1" x14ac:dyDescent="0.25">
      <c r="A119" s="289"/>
      <c r="B119" s="465" t="s">
        <v>557</v>
      </c>
      <c r="C119" s="155" t="s">
        <v>79</v>
      </c>
      <c r="D119" s="26">
        <f t="shared" si="51"/>
        <v>100</v>
      </c>
      <c r="E119" s="24">
        <f t="shared" si="46"/>
        <v>0</v>
      </c>
      <c r="F119" s="24">
        <f t="shared" si="46"/>
        <v>0</v>
      </c>
      <c r="G119" s="24">
        <f t="shared" si="46"/>
        <v>100</v>
      </c>
      <c r="H119" s="991"/>
      <c r="I119" s="991"/>
      <c r="J119" s="967"/>
      <c r="K119" s="967"/>
      <c r="L119" s="967"/>
      <c r="M119" s="967"/>
      <c r="N119" s="975"/>
      <c r="O119" s="975"/>
      <c r="P119" s="975"/>
      <c r="Q119" s="975"/>
      <c r="R119" s="967"/>
      <c r="S119" s="967"/>
      <c r="T119" s="251">
        <f t="shared" si="48"/>
        <v>100</v>
      </c>
      <c r="U119" s="26"/>
      <c r="V119" s="26"/>
      <c r="W119" s="26">
        <v>100</v>
      </c>
      <c r="X119" s="262"/>
      <c r="Y119" s="262"/>
      <c r="Z119" s="262"/>
      <c r="AA119" s="262"/>
      <c r="AB119" s="262"/>
      <c r="AC119" s="262"/>
      <c r="AD119" s="251"/>
      <c r="AE119" s="320"/>
      <c r="AF119" s="320"/>
      <c r="AG119" s="320"/>
      <c r="AH119" s="251"/>
      <c r="AI119" s="422"/>
      <c r="AJ119" s="422"/>
      <c r="AK119" s="422"/>
      <c r="AL119" s="1013"/>
      <c r="AM119" s="1013"/>
      <c r="AN119" s="1013"/>
      <c r="AO119" s="1013"/>
    </row>
    <row r="120" spans="1:41" ht="31.15" customHeight="1" x14ac:dyDescent="0.25">
      <c r="A120" s="289"/>
      <c r="B120" s="465" t="s">
        <v>559</v>
      </c>
      <c r="C120" s="155" t="s">
        <v>79</v>
      </c>
      <c r="D120" s="26">
        <f t="shared" si="51"/>
        <v>45</v>
      </c>
      <c r="E120" s="24">
        <f t="shared" si="46"/>
        <v>0</v>
      </c>
      <c r="F120" s="24">
        <f t="shared" si="46"/>
        <v>0</v>
      </c>
      <c r="G120" s="24">
        <f t="shared" si="46"/>
        <v>45</v>
      </c>
      <c r="H120" s="991"/>
      <c r="I120" s="991"/>
      <c r="J120" s="967"/>
      <c r="K120" s="967"/>
      <c r="L120" s="967"/>
      <c r="M120" s="967"/>
      <c r="N120" s="975"/>
      <c r="O120" s="975"/>
      <c r="P120" s="975"/>
      <c r="Q120" s="975"/>
      <c r="R120" s="967"/>
      <c r="S120" s="967"/>
      <c r="T120" s="251">
        <f t="shared" si="48"/>
        <v>45</v>
      </c>
      <c r="U120" s="26"/>
      <c r="V120" s="26"/>
      <c r="W120" s="26">
        <v>45</v>
      </c>
      <c r="X120" s="262"/>
      <c r="Y120" s="262"/>
      <c r="Z120" s="262"/>
      <c r="AA120" s="262"/>
      <c r="AB120" s="262"/>
      <c r="AC120" s="262"/>
      <c r="AD120" s="251"/>
      <c r="AE120" s="320"/>
      <c r="AF120" s="320"/>
      <c r="AG120" s="320"/>
      <c r="AH120" s="251"/>
      <c r="AI120" s="422"/>
      <c r="AJ120" s="422"/>
      <c r="AK120" s="422"/>
      <c r="AL120" s="1013"/>
      <c r="AM120" s="1013"/>
      <c r="AN120" s="1013"/>
      <c r="AO120" s="1013"/>
    </row>
    <row r="121" spans="1:41" ht="31.15" customHeight="1" x14ac:dyDescent="0.25">
      <c r="A121" s="289"/>
      <c r="B121" s="465" t="s">
        <v>560</v>
      </c>
      <c r="C121" s="155" t="s">
        <v>295</v>
      </c>
      <c r="D121" s="26">
        <f t="shared" si="51"/>
        <v>43</v>
      </c>
      <c r="E121" s="24">
        <f t="shared" si="46"/>
        <v>0</v>
      </c>
      <c r="F121" s="24">
        <f t="shared" si="46"/>
        <v>0</v>
      </c>
      <c r="G121" s="24">
        <f t="shared" si="46"/>
        <v>43</v>
      </c>
      <c r="H121" s="991"/>
      <c r="I121" s="991"/>
      <c r="J121" s="967"/>
      <c r="K121" s="967"/>
      <c r="L121" s="967"/>
      <c r="M121" s="967"/>
      <c r="N121" s="975"/>
      <c r="O121" s="975"/>
      <c r="P121" s="975"/>
      <c r="Q121" s="975"/>
      <c r="R121" s="967"/>
      <c r="S121" s="967"/>
      <c r="T121" s="251">
        <f t="shared" si="48"/>
        <v>43</v>
      </c>
      <c r="U121" s="26"/>
      <c r="V121" s="26"/>
      <c r="W121" s="26">
        <v>43</v>
      </c>
      <c r="X121" s="262"/>
      <c r="Y121" s="262"/>
      <c r="Z121" s="262"/>
      <c r="AA121" s="262"/>
      <c r="AB121" s="262"/>
      <c r="AC121" s="262"/>
      <c r="AD121" s="251"/>
      <c r="AE121" s="320"/>
      <c r="AF121" s="320"/>
      <c r="AG121" s="320"/>
      <c r="AH121" s="251"/>
      <c r="AI121" s="422"/>
      <c r="AJ121" s="422"/>
      <c r="AK121" s="422"/>
      <c r="AL121" s="1013"/>
      <c r="AM121" s="1013"/>
      <c r="AN121" s="1013"/>
      <c r="AO121" s="1013"/>
    </row>
    <row r="122" spans="1:41" ht="31.15" customHeight="1" x14ac:dyDescent="0.25">
      <c r="A122" s="289"/>
      <c r="B122" s="465" t="s">
        <v>604</v>
      </c>
      <c r="C122" s="155" t="s">
        <v>47</v>
      </c>
      <c r="D122" s="26">
        <f t="shared" si="51"/>
        <v>43.7</v>
      </c>
      <c r="E122" s="24">
        <f t="shared" si="46"/>
        <v>0</v>
      </c>
      <c r="F122" s="24">
        <f t="shared" si="46"/>
        <v>0</v>
      </c>
      <c r="G122" s="24">
        <f t="shared" si="46"/>
        <v>43.7</v>
      </c>
      <c r="H122" s="991"/>
      <c r="I122" s="991"/>
      <c r="J122" s="967"/>
      <c r="K122" s="967"/>
      <c r="L122" s="967"/>
      <c r="M122" s="967"/>
      <c r="N122" s="975"/>
      <c r="O122" s="975"/>
      <c r="P122" s="975"/>
      <c r="Q122" s="975"/>
      <c r="R122" s="967"/>
      <c r="S122" s="967"/>
      <c r="T122" s="251">
        <f t="shared" si="48"/>
        <v>43.7</v>
      </c>
      <c r="U122" s="26"/>
      <c r="V122" s="26"/>
      <c r="W122" s="26">
        <v>43.7</v>
      </c>
      <c r="X122" s="262"/>
      <c r="Y122" s="262"/>
      <c r="Z122" s="262"/>
      <c r="AA122" s="262"/>
      <c r="AB122" s="262"/>
      <c r="AC122" s="262"/>
      <c r="AD122" s="251"/>
      <c r="AE122" s="320"/>
      <c r="AF122" s="320"/>
      <c r="AG122" s="320"/>
      <c r="AH122" s="251"/>
      <c r="AI122" s="422"/>
      <c r="AJ122" s="422"/>
      <c r="AK122" s="422"/>
      <c r="AL122" s="1013"/>
      <c r="AM122" s="1013"/>
      <c r="AN122" s="1013"/>
      <c r="AO122" s="1013"/>
    </row>
    <row r="123" spans="1:41" ht="31.15" customHeight="1" x14ac:dyDescent="0.25">
      <c r="A123" s="289"/>
      <c r="B123" s="465" t="s">
        <v>560</v>
      </c>
      <c r="C123" s="155" t="s">
        <v>47</v>
      </c>
      <c r="D123" s="26">
        <f t="shared" si="51"/>
        <v>200.5</v>
      </c>
      <c r="E123" s="24">
        <f t="shared" si="46"/>
        <v>0</v>
      </c>
      <c r="F123" s="24">
        <f t="shared" si="46"/>
        <v>0</v>
      </c>
      <c r="G123" s="24">
        <f t="shared" si="46"/>
        <v>200.5</v>
      </c>
      <c r="H123" s="991"/>
      <c r="I123" s="991"/>
      <c r="J123" s="967"/>
      <c r="K123" s="967"/>
      <c r="L123" s="967"/>
      <c r="M123" s="967"/>
      <c r="N123" s="975"/>
      <c r="O123" s="975"/>
      <c r="P123" s="975"/>
      <c r="Q123" s="975"/>
      <c r="R123" s="967"/>
      <c r="S123" s="967"/>
      <c r="T123" s="251">
        <f t="shared" si="48"/>
        <v>200.5</v>
      </c>
      <c r="U123" s="26"/>
      <c r="V123" s="26"/>
      <c r="W123" s="26">
        <v>200.5</v>
      </c>
      <c r="X123" s="262"/>
      <c r="Y123" s="262"/>
      <c r="Z123" s="262"/>
      <c r="AA123" s="262"/>
      <c r="AB123" s="262"/>
      <c r="AC123" s="262"/>
      <c r="AD123" s="251"/>
      <c r="AE123" s="320"/>
      <c r="AF123" s="320"/>
      <c r="AG123" s="320"/>
      <c r="AH123" s="251"/>
      <c r="AI123" s="422"/>
      <c r="AJ123" s="422"/>
      <c r="AK123" s="422"/>
      <c r="AL123" s="1013"/>
      <c r="AM123" s="1013"/>
      <c r="AN123" s="1013"/>
      <c r="AO123" s="1013"/>
    </row>
    <row r="124" spans="1:41" ht="31.15" customHeight="1" x14ac:dyDescent="0.25">
      <c r="A124" s="289"/>
      <c r="B124" s="465" t="s">
        <v>286</v>
      </c>
      <c r="C124" s="155" t="s">
        <v>638</v>
      </c>
      <c r="D124" s="26">
        <f t="shared" si="51"/>
        <v>1697.7</v>
      </c>
      <c r="E124" s="24">
        <f t="shared" si="46"/>
        <v>0</v>
      </c>
      <c r="F124" s="24">
        <f t="shared" si="46"/>
        <v>0</v>
      </c>
      <c r="G124" s="24">
        <f t="shared" si="46"/>
        <v>1697.7</v>
      </c>
      <c r="H124" s="991"/>
      <c r="I124" s="991"/>
      <c r="J124" s="967"/>
      <c r="K124" s="967"/>
      <c r="L124" s="967"/>
      <c r="M124" s="967"/>
      <c r="N124" s="975"/>
      <c r="O124" s="975"/>
      <c r="P124" s="975"/>
      <c r="Q124" s="975"/>
      <c r="R124" s="967"/>
      <c r="S124" s="967"/>
      <c r="T124" s="251">
        <f t="shared" si="48"/>
        <v>150</v>
      </c>
      <c r="U124" s="26"/>
      <c r="V124" s="26"/>
      <c r="W124" s="26">
        <v>150</v>
      </c>
      <c r="X124" s="262"/>
      <c r="Y124" s="262"/>
      <c r="Z124" s="262"/>
      <c r="AA124" s="262"/>
      <c r="AB124" s="262"/>
      <c r="AC124" s="262"/>
      <c r="AD124" s="251">
        <f>AE124+AF124+AG124</f>
        <v>1547.7</v>
      </c>
      <c r="AE124" s="320"/>
      <c r="AF124" s="320"/>
      <c r="AG124" s="320">
        <v>1547.7</v>
      </c>
      <c r="AH124" s="251"/>
      <c r="AI124" s="692"/>
      <c r="AJ124" s="692"/>
      <c r="AK124" s="692"/>
      <c r="AL124" s="1013"/>
      <c r="AM124" s="1013"/>
      <c r="AN124" s="1013"/>
      <c r="AO124" s="1013"/>
    </row>
    <row r="125" spans="1:41" ht="54.75" customHeight="1" x14ac:dyDescent="0.25">
      <c r="A125" s="289"/>
      <c r="B125" s="465" t="s">
        <v>561</v>
      </c>
      <c r="C125" s="155" t="s">
        <v>596</v>
      </c>
      <c r="D125" s="26">
        <f t="shared" si="51"/>
        <v>0</v>
      </c>
      <c r="E125" s="24">
        <f t="shared" si="46"/>
        <v>0</v>
      </c>
      <c r="F125" s="24">
        <f t="shared" si="46"/>
        <v>0</v>
      </c>
      <c r="G125" s="24">
        <f t="shared" si="46"/>
        <v>0</v>
      </c>
      <c r="H125" s="991"/>
      <c r="I125" s="991"/>
      <c r="J125" s="967"/>
      <c r="K125" s="967"/>
      <c r="L125" s="967"/>
      <c r="M125" s="967"/>
      <c r="N125" s="975"/>
      <c r="O125" s="975"/>
      <c r="P125" s="975"/>
      <c r="Q125" s="975"/>
      <c r="R125" s="967"/>
      <c r="S125" s="967"/>
      <c r="T125" s="251">
        <f t="shared" si="48"/>
        <v>0</v>
      </c>
      <c r="U125" s="26"/>
      <c r="V125" s="26"/>
      <c r="W125" s="26">
        <v>0</v>
      </c>
      <c r="X125" s="262"/>
      <c r="Y125" s="262"/>
      <c r="Z125" s="262"/>
      <c r="AA125" s="262"/>
      <c r="AB125" s="262"/>
      <c r="AC125" s="262"/>
      <c r="AD125" s="251"/>
      <c r="AE125" s="320"/>
      <c r="AF125" s="320"/>
      <c r="AG125" s="320"/>
      <c r="AH125" s="251"/>
      <c r="AI125" s="692"/>
      <c r="AJ125" s="692"/>
      <c r="AK125" s="692"/>
      <c r="AL125" s="1013"/>
      <c r="AM125" s="1013"/>
      <c r="AN125" s="1013"/>
      <c r="AO125" s="1013"/>
    </row>
    <row r="126" spans="1:41" ht="16.899999999999999" customHeight="1" x14ac:dyDescent="0.25">
      <c r="A126" s="289"/>
      <c r="B126" s="465" t="s">
        <v>648</v>
      </c>
      <c r="C126" s="155" t="s">
        <v>639</v>
      </c>
      <c r="D126" s="26">
        <f t="shared" si="51"/>
        <v>3828.7220000000002</v>
      </c>
      <c r="E126" s="24">
        <f t="shared" si="46"/>
        <v>0</v>
      </c>
      <c r="F126" s="24">
        <f t="shared" si="46"/>
        <v>0</v>
      </c>
      <c r="G126" s="24">
        <f t="shared" si="46"/>
        <v>3828.7220000000002</v>
      </c>
      <c r="H126" s="991"/>
      <c r="I126" s="991"/>
      <c r="J126" s="967"/>
      <c r="K126" s="967"/>
      <c r="L126" s="967"/>
      <c r="M126" s="967"/>
      <c r="N126" s="975"/>
      <c r="O126" s="975"/>
      <c r="P126" s="975"/>
      <c r="Q126" s="975"/>
      <c r="R126" s="967"/>
      <c r="S126" s="967"/>
      <c r="T126" s="251">
        <f t="shared" si="48"/>
        <v>703.42200000000003</v>
      </c>
      <c r="U126" s="26"/>
      <c r="V126" s="26"/>
      <c r="W126" s="26">
        <v>703.42200000000003</v>
      </c>
      <c r="X126" s="262"/>
      <c r="Y126" s="262"/>
      <c r="Z126" s="262"/>
      <c r="AA126" s="262"/>
      <c r="AB126" s="262"/>
      <c r="AC126" s="262"/>
      <c r="AD126" s="251">
        <f>AE126+AF126+AG126</f>
        <v>3125.3</v>
      </c>
      <c r="AE126" s="320"/>
      <c r="AF126" s="320"/>
      <c r="AG126" s="320">
        <v>3125.3</v>
      </c>
      <c r="AH126" s="251"/>
      <c r="AI126" s="692"/>
      <c r="AJ126" s="692"/>
      <c r="AK126" s="692"/>
      <c r="AL126" s="1013"/>
      <c r="AM126" s="1013"/>
      <c r="AN126" s="1013"/>
      <c r="AO126" s="1013"/>
    </row>
    <row r="127" spans="1:41" ht="30.6" customHeight="1" x14ac:dyDescent="0.25">
      <c r="A127" s="289"/>
      <c r="B127" s="465" t="s">
        <v>562</v>
      </c>
      <c r="C127" s="155" t="s">
        <v>90</v>
      </c>
      <c r="D127" s="26">
        <f t="shared" si="51"/>
        <v>43.1</v>
      </c>
      <c r="E127" s="24">
        <f t="shared" si="46"/>
        <v>0</v>
      </c>
      <c r="F127" s="24">
        <f t="shared" si="46"/>
        <v>0</v>
      </c>
      <c r="G127" s="24">
        <f t="shared" si="46"/>
        <v>43.1</v>
      </c>
      <c r="H127" s="991"/>
      <c r="I127" s="991"/>
      <c r="J127" s="967"/>
      <c r="K127" s="967"/>
      <c r="L127" s="967"/>
      <c r="M127" s="967"/>
      <c r="N127" s="975"/>
      <c r="O127" s="975"/>
      <c r="P127" s="975"/>
      <c r="Q127" s="975"/>
      <c r="R127" s="967"/>
      <c r="S127" s="967"/>
      <c r="T127" s="251">
        <f t="shared" si="48"/>
        <v>43.1</v>
      </c>
      <c r="U127" s="26"/>
      <c r="V127" s="26"/>
      <c r="W127" s="26">
        <v>43.1</v>
      </c>
      <c r="X127" s="262"/>
      <c r="Y127" s="262"/>
      <c r="Z127" s="262"/>
      <c r="AA127" s="262"/>
      <c r="AB127" s="262"/>
      <c r="AC127" s="262"/>
      <c r="AD127" s="251"/>
      <c r="AE127" s="320"/>
      <c r="AF127" s="320"/>
      <c r="AG127" s="320"/>
      <c r="AH127" s="251"/>
      <c r="AI127" s="692"/>
      <c r="AJ127" s="692"/>
      <c r="AK127" s="692"/>
      <c r="AL127" s="1013"/>
      <c r="AM127" s="1013"/>
      <c r="AN127" s="1013"/>
      <c r="AO127" s="1013"/>
    </row>
    <row r="128" spans="1:41" ht="29.25" customHeight="1" x14ac:dyDescent="0.25">
      <c r="A128" s="289"/>
      <c r="B128" s="465" t="s">
        <v>34</v>
      </c>
      <c r="C128" s="155" t="s">
        <v>72</v>
      </c>
      <c r="D128" s="26">
        <f t="shared" si="51"/>
        <v>598.5</v>
      </c>
      <c r="E128" s="24">
        <f t="shared" si="46"/>
        <v>0</v>
      </c>
      <c r="F128" s="24">
        <f t="shared" si="46"/>
        <v>0</v>
      </c>
      <c r="G128" s="24">
        <f t="shared" si="46"/>
        <v>598.5</v>
      </c>
      <c r="H128" s="991"/>
      <c r="I128" s="991"/>
      <c r="J128" s="967"/>
      <c r="K128" s="967"/>
      <c r="L128" s="967"/>
      <c r="M128" s="967"/>
      <c r="N128" s="975"/>
      <c r="O128" s="975"/>
      <c r="P128" s="975"/>
      <c r="Q128" s="975"/>
      <c r="R128" s="967"/>
      <c r="S128" s="967"/>
      <c r="T128" s="251">
        <f t="shared" si="48"/>
        <v>298.3</v>
      </c>
      <c r="U128" s="26"/>
      <c r="V128" s="26"/>
      <c r="W128" s="26">
        <v>298.3</v>
      </c>
      <c r="X128" s="262"/>
      <c r="Y128" s="262"/>
      <c r="Z128" s="262"/>
      <c r="AA128" s="262"/>
      <c r="AB128" s="262"/>
      <c r="AC128" s="262"/>
      <c r="AD128" s="251">
        <f>AE128+AF128+AG128</f>
        <v>300.2</v>
      </c>
      <c r="AE128" s="320"/>
      <c r="AF128" s="320"/>
      <c r="AG128" s="320">
        <v>300.2</v>
      </c>
      <c r="AH128" s="251"/>
      <c r="AI128" s="692"/>
      <c r="AJ128" s="692"/>
      <c r="AK128" s="692"/>
      <c r="AL128" s="1013"/>
      <c r="AM128" s="1013"/>
      <c r="AN128" s="1013"/>
      <c r="AO128" s="1013"/>
    </row>
    <row r="129" spans="1:41" ht="30" hidden="1" customHeight="1" x14ac:dyDescent="0.25">
      <c r="A129" s="289"/>
      <c r="B129" s="465"/>
      <c r="C129" s="155"/>
      <c r="D129" s="26">
        <f t="shared" si="51"/>
        <v>0</v>
      </c>
      <c r="E129" s="26"/>
      <c r="F129" s="26"/>
      <c r="G129" s="24">
        <f t="shared" si="46"/>
        <v>0</v>
      </c>
      <c r="H129" s="991"/>
      <c r="I129" s="991"/>
      <c r="J129" s="967"/>
      <c r="K129" s="967"/>
      <c r="L129" s="967"/>
      <c r="M129" s="967"/>
      <c r="N129" s="975"/>
      <c r="O129" s="975"/>
      <c r="P129" s="975"/>
      <c r="Q129" s="975"/>
      <c r="R129" s="967"/>
      <c r="S129" s="967"/>
      <c r="T129" s="251">
        <f t="shared" si="48"/>
        <v>0</v>
      </c>
      <c r="U129" s="26"/>
      <c r="V129" s="26"/>
      <c r="W129" s="26"/>
      <c r="X129" s="262"/>
      <c r="Y129" s="262"/>
      <c r="Z129" s="262"/>
      <c r="AA129" s="262"/>
      <c r="AB129" s="262"/>
      <c r="AC129" s="262"/>
      <c r="AD129" s="1076">
        <f t="shared" ref="AD129:AD133" si="52">AE129+AF129+AG129</f>
        <v>0</v>
      </c>
      <c r="AE129" s="320"/>
      <c r="AF129" s="320"/>
      <c r="AG129" s="320"/>
      <c r="AH129" s="251"/>
      <c r="AI129" s="692"/>
      <c r="AJ129" s="692"/>
      <c r="AK129" s="692"/>
      <c r="AL129" s="1013"/>
      <c r="AM129" s="1013"/>
      <c r="AN129" s="1013"/>
      <c r="AO129" s="1013"/>
    </row>
    <row r="130" spans="1:41" ht="36.75" customHeight="1" x14ac:dyDescent="0.25">
      <c r="A130" s="289"/>
      <c r="B130" s="465" t="s">
        <v>630</v>
      </c>
      <c r="C130" s="155" t="s">
        <v>457</v>
      </c>
      <c r="D130" s="26">
        <f t="shared" si="51"/>
        <v>250</v>
      </c>
      <c r="E130" s="24">
        <f t="shared" ref="E130:F141" si="53">I130+M130+Q130+U130+AE130+AI130+AM130</f>
        <v>0</v>
      </c>
      <c r="F130" s="24">
        <f t="shared" si="53"/>
        <v>0</v>
      </c>
      <c r="G130" s="24">
        <f t="shared" si="46"/>
        <v>250</v>
      </c>
      <c r="H130" s="991"/>
      <c r="I130" s="991"/>
      <c r="J130" s="967"/>
      <c r="K130" s="967"/>
      <c r="L130" s="967"/>
      <c r="M130" s="967"/>
      <c r="N130" s="975"/>
      <c r="O130" s="975"/>
      <c r="P130" s="975"/>
      <c r="Q130" s="975"/>
      <c r="R130" s="967"/>
      <c r="S130" s="967"/>
      <c r="T130" s="251">
        <f t="shared" si="48"/>
        <v>250</v>
      </c>
      <c r="U130" s="26"/>
      <c r="V130" s="26"/>
      <c r="W130" s="26">
        <v>250</v>
      </c>
      <c r="X130" s="262"/>
      <c r="Y130" s="262"/>
      <c r="Z130" s="262"/>
      <c r="AA130" s="262"/>
      <c r="AB130" s="262"/>
      <c r="AC130" s="262"/>
      <c r="AD130" s="251">
        <f t="shared" si="52"/>
        <v>0</v>
      </c>
      <c r="AE130" s="320"/>
      <c r="AF130" s="320"/>
      <c r="AG130" s="320"/>
      <c r="AH130" s="251"/>
      <c r="AI130" s="692"/>
      <c r="AJ130" s="692"/>
      <c r="AK130" s="692"/>
      <c r="AL130" s="1013"/>
      <c r="AM130" s="1013"/>
      <c r="AN130" s="1013"/>
      <c r="AO130" s="1013"/>
    </row>
    <row r="131" spans="1:41" ht="36.75" customHeight="1" x14ac:dyDescent="0.25">
      <c r="A131" s="289"/>
      <c r="B131" s="465" t="s">
        <v>633</v>
      </c>
      <c r="C131" s="155" t="s">
        <v>634</v>
      </c>
      <c r="D131" s="26">
        <f t="shared" si="51"/>
        <v>602.9</v>
      </c>
      <c r="E131" s="24">
        <f t="shared" si="53"/>
        <v>0</v>
      </c>
      <c r="F131" s="24">
        <f t="shared" si="53"/>
        <v>0</v>
      </c>
      <c r="G131" s="24">
        <f t="shared" si="46"/>
        <v>602.9</v>
      </c>
      <c r="H131" s="991"/>
      <c r="I131" s="991"/>
      <c r="J131" s="967"/>
      <c r="K131" s="967"/>
      <c r="L131" s="967"/>
      <c r="M131" s="967"/>
      <c r="N131" s="975"/>
      <c r="O131" s="975"/>
      <c r="P131" s="975"/>
      <c r="Q131" s="975"/>
      <c r="R131" s="967"/>
      <c r="S131" s="967"/>
      <c r="T131" s="251"/>
      <c r="U131" s="26"/>
      <c r="V131" s="26"/>
      <c r="W131" s="26"/>
      <c r="X131" s="262"/>
      <c r="Y131" s="262"/>
      <c r="Z131" s="262"/>
      <c r="AA131" s="262"/>
      <c r="AB131" s="262"/>
      <c r="AC131" s="262"/>
      <c r="AD131" s="251">
        <f t="shared" si="52"/>
        <v>602.9</v>
      </c>
      <c r="AE131" s="320"/>
      <c r="AF131" s="320"/>
      <c r="AG131" s="320">
        <v>602.9</v>
      </c>
      <c r="AH131" s="251"/>
      <c r="AI131" s="692"/>
      <c r="AJ131" s="692"/>
      <c r="AK131" s="692"/>
      <c r="AL131" s="1013"/>
      <c r="AM131" s="1013"/>
      <c r="AN131" s="1013"/>
      <c r="AO131" s="1013"/>
    </row>
    <row r="132" spans="1:41" ht="36.75" customHeight="1" x14ac:dyDescent="0.25">
      <c r="A132" s="289"/>
      <c r="B132" s="465" t="s">
        <v>635</v>
      </c>
      <c r="C132" s="155" t="s">
        <v>595</v>
      </c>
      <c r="D132" s="26">
        <f t="shared" si="51"/>
        <v>197.8</v>
      </c>
      <c r="E132" s="24">
        <f t="shared" si="53"/>
        <v>0</v>
      </c>
      <c r="F132" s="24">
        <f t="shared" si="53"/>
        <v>0</v>
      </c>
      <c r="G132" s="24">
        <f t="shared" si="46"/>
        <v>197.8</v>
      </c>
      <c r="H132" s="991"/>
      <c r="I132" s="991"/>
      <c r="J132" s="967"/>
      <c r="K132" s="967"/>
      <c r="L132" s="967"/>
      <c r="M132" s="967"/>
      <c r="N132" s="975"/>
      <c r="O132" s="975"/>
      <c r="P132" s="975"/>
      <c r="Q132" s="975"/>
      <c r="R132" s="967"/>
      <c r="S132" s="967"/>
      <c r="T132" s="251"/>
      <c r="U132" s="26"/>
      <c r="V132" s="26"/>
      <c r="W132" s="26"/>
      <c r="X132" s="262"/>
      <c r="Y132" s="262"/>
      <c r="Z132" s="262"/>
      <c r="AA132" s="262"/>
      <c r="AB132" s="262"/>
      <c r="AC132" s="262"/>
      <c r="AD132" s="251">
        <f t="shared" si="52"/>
        <v>197.8</v>
      </c>
      <c r="AE132" s="320"/>
      <c r="AF132" s="320"/>
      <c r="AG132" s="320">
        <v>197.8</v>
      </c>
      <c r="AH132" s="251"/>
      <c r="AI132" s="692"/>
      <c r="AJ132" s="692"/>
      <c r="AK132" s="692"/>
      <c r="AL132" s="1013"/>
      <c r="AM132" s="1013"/>
      <c r="AN132" s="1013"/>
      <c r="AO132" s="1013"/>
    </row>
    <row r="133" spans="1:41" ht="36.75" customHeight="1" x14ac:dyDescent="0.25">
      <c r="A133" s="289"/>
      <c r="B133" s="465" t="s">
        <v>640</v>
      </c>
      <c r="C133" s="155" t="s">
        <v>641</v>
      </c>
      <c r="D133" s="26">
        <f t="shared" si="51"/>
        <v>246</v>
      </c>
      <c r="E133" s="24">
        <f t="shared" si="53"/>
        <v>0</v>
      </c>
      <c r="F133" s="24">
        <f t="shared" si="53"/>
        <v>0</v>
      </c>
      <c r="G133" s="24">
        <f t="shared" si="46"/>
        <v>246</v>
      </c>
      <c r="H133" s="991"/>
      <c r="I133" s="991"/>
      <c r="J133" s="967"/>
      <c r="K133" s="967"/>
      <c r="L133" s="967"/>
      <c r="M133" s="967"/>
      <c r="N133" s="975"/>
      <c r="O133" s="975"/>
      <c r="P133" s="975"/>
      <c r="Q133" s="975"/>
      <c r="R133" s="967"/>
      <c r="S133" s="967"/>
      <c r="T133" s="251"/>
      <c r="U133" s="26"/>
      <c r="V133" s="26"/>
      <c r="W133" s="26"/>
      <c r="X133" s="262"/>
      <c r="Y133" s="262"/>
      <c r="Z133" s="262"/>
      <c r="AA133" s="262"/>
      <c r="AB133" s="262"/>
      <c r="AC133" s="262"/>
      <c r="AD133" s="251">
        <f t="shared" si="52"/>
        <v>246</v>
      </c>
      <c r="AE133" s="320"/>
      <c r="AF133" s="320"/>
      <c r="AG133" s="693">
        <v>246</v>
      </c>
      <c r="AH133" s="251"/>
      <c r="AI133" s="692"/>
      <c r="AJ133" s="692"/>
      <c r="AK133" s="692"/>
      <c r="AL133" s="1013"/>
      <c r="AM133" s="1013"/>
      <c r="AN133" s="1013"/>
      <c r="AO133" s="1013"/>
    </row>
    <row r="134" spans="1:41" ht="53.45" customHeight="1" x14ac:dyDescent="0.25">
      <c r="A134" s="872" t="s">
        <v>200</v>
      </c>
      <c r="B134" s="873" t="s">
        <v>68</v>
      </c>
      <c r="C134" s="161"/>
      <c r="D134" s="253">
        <f>E134+F134+G134</f>
        <v>959.00099999999998</v>
      </c>
      <c r="E134" s="22">
        <f t="shared" si="53"/>
        <v>0</v>
      </c>
      <c r="F134" s="22">
        <f t="shared" si="53"/>
        <v>0</v>
      </c>
      <c r="G134" s="22">
        <f t="shared" si="46"/>
        <v>959.00099999999998</v>
      </c>
      <c r="H134" s="992"/>
      <c r="I134" s="992"/>
      <c r="J134" s="980"/>
      <c r="K134" s="980"/>
      <c r="L134" s="980">
        <f>M134+N134+O134</f>
        <v>148</v>
      </c>
      <c r="M134" s="980"/>
      <c r="N134" s="980"/>
      <c r="O134" s="980">
        <v>148</v>
      </c>
      <c r="P134" s="993">
        <f>Q134+R134+S134</f>
        <v>358.15999999999997</v>
      </c>
      <c r="Q134" s="993"/>
      <c r="R134" s="980">
        <f>R135</f>
        <v>0</v>
      </c>
      <c r="S134" s="980">
        <f>S135+S136+S137+S138+S139+S140</f>
        <v>358.15999999999997</v>
      </c>
      <c r="T134" s="744">
        <f>U134+V134+W134</f>
        <v>452.84100000000001</v>
      </c>
      <c r="U134" s="253">
        <f t="shared" ref="U134:V134" si="54">U135+U136+U137+U138</f>
        <v>0</v>
      </c>
      <c r="V134" s="253">
        <f t="shared" si="54"/>
        <v>0</v>
      </c>
      <c r="W134" s="253">
        <f>W135+W136+W137+W138+W141</f>
        <v>452.84100000000001</v>
      </c>
      <c r="X134" s="262"/>
      <c r="Y134" s="262"/>
      <c r="Z134" s="262"/>
      <c r="AA134" s="262"/>
      <c r="AB134" s="262"/>
      <c r="AC134" s="262"/>
      <c r="AD134" s="293">
        <f>AE134+AF134+AG134</f>
        <v>0</v>
      </c>
      <c r="AE134" s="253">
        <f t="shared" ref="AE134:AF134" si="55">AE135+AE136+AE137+AE138+AE141</f>
        <v>0</v>
      </c>
      <c r="AF134" s="253">
        <f t="shared" si="55"/>
        <v>0</v>
      </c>
      <c r="AG134" s="253">
        <f>AG135+AG136+AG137+AG138+AG141</f>
        <v>0</v>
      </c>
      <c r="AH134" s="293">
        <f>AI134+AJ134+AK134</f>
        <v>0</v>
      </c>
      <c r="AI134" s="253">
        <f t="shared" ref="AI134:AJ134" si="56">AI135+AI136+AI137+AI138+AI141</f>
        <v>0</v>
      </c>
      <c r="AJ134" s="253">
        <f t="shared" si="56"/>
        <v>0</v>
      </c>
      <c r="AK134" s="253">
        <f>AK135+AK136+AK137+AK138+AK141</f>
        <v>0</v>
      </c>
      <c r="AL134" s="1017">
        <f>AM134+AN134+AO134</f>
        <v>0</v>
      </c>
      <c r="AM134" s="253">
        <f t="shared" ref="AM134:AN134" si="57">AM135+AM136+AM137+AM138+AM141</f>
        <v>0</v>
      </c>
      <c r="AN134" s="253">
        <f t="shared" si="57"/>
        <v>0</v>
      </c>
      <c r="AO134" s="253">
        <f>AO135+AO136+AO137+AO138+AO141</f>
        <v>0</v>
      </c>
    </row>
    <row r="135" spans="1:41" ht="50.25" customHeight="1" x14ac:dyDescent="0.25">
      <c r="A135" s="162"/>
      <c r="B135" s="108" t="s">
        <v>301</v>
      </c>
      <c r="C135" s="108"/>
      <c r="D135" s="26">
        <f>E135+F135+G135</f>
        <v>148</v>
      </c>
      <c r="E135" s="24">
        <f t="shared" si="53"/>
        <v>0</v>
      </c>
      <c r="F135" s="24">
        <f t="shared" si="53"/>
        <v>0</v>
      </c>
      <c r="G135" s="24">
        <f t="shared" si="46"/>
        <v>148</v>
      </c>
      <c r="H135" s="991"/>
      <c r="I135" s="991"/>
      <c r="J135" s="991"/>
      <c r="K135" s="991"/>
      <c r="L135" s="967">
        <f>M135+N135+O135</f>
        <v>148</v>
      </c>
      <c r="M135" s="967"/>
      <c r="N135" s="967"/>
      <c r="O135" s="967">
        <f>O136+O137</f>
        <v>148</v>
      </c>
      <c r="P135" s="967">
        <f>P136+P137</f>
        <v>0</v>
      </c>
      <c r="Q135" s="967">
        <f>Q136+Q137</f>
        <v>0</v>
      </c>
      <c r="R135" s="967">
        <f>R136+R137</f>
        <v>0</v>
      </c>
      <c r="S135" s="967">
        <f>S136+S137</f>
        <v>0</v>
      </c>
      <c r="T135" s="251">
        <f t="shared" ref="T135:T137" si="58">U135+V135+W135</f>
        <v>0</v>
      </c>
      <c r="U135" s="26"/>
      <c r="V135" s="26"/>
      <c r="W135" s="253"/>
      <c r="X135" s="262"/>
      <c r="Y135" s="262"/>
      <c r="Z135" s="262"/>
      <c r="AA135" s="262"/>
      <c r="AB135" s="262"/>
      <c r="AC135" s="262"/>
      <c r="AD135" s="320"/>
      <c r="AE135" s="320"/>
      <c r="AF135" s="320"/>
      <c r="AG135" s="320"/>
      <c r="AH135" s="692"/>
      <c r="AI135" s="692"/>
      <c r="AJ135" s="692"/>
      <c r="AK135" s="692"/>
      <c r="AL135" s="1013"/>
      <c r="AM135" s="1013"/>
      <c r="AN135" s="1013"/>
      <c r="AO135" s="1013"/>
    </row>
    <row r="136" spans="1:41" ht="37.9" customHeight="1" x14ac:dyDescent="0.25">
      <c r="A136" s="159"/>
      <c r="B136" s="155" t="s">
        <v>109</v>
      </c>
      <c r="C136" s="155" t="s">
        <v>110</v>
      </c>
      <c r="D136" s="26">
        <f t="shared" ref="D136:D141" si="59">E136+F136+G136</f>
        <v>148</v>
      </c>
      <c r="E136" s="24">
        <f t="shared" si="53"/>
        <v>0</v>
      </c>
      <c r="F136" s="24">
        <f t="shared" si="53"/>
        <v>0</v>
      </c>
      <c r="G136" s="24">
        <f t="shared" si="46"/>
        <v>148</v>
      </c>
      <c r="H136" s="976"/>
      <c r="I136" s="976"/>
      <c r="J136" s="976"/>
      <c r="K136" s="976"/>
      <c r="L136" s="976">
        <f>M136+N136+O136</f>
        <v>148</v>
      </c>
      <c r="M136" s="994"/>
      <c r="N136" s="967"/>
      <c r="O136" s="967">
        <v>148</v>
      </c>
      <c r="P136" s="976">
        <f>Q136+R136+S136</f>
        <v>0</v>
      </c>
      <c r="Q136" s="982"/>
      <c r="R136" s="991"/>
      <c r="S136" s="967"/>
      <c r="T136" s="251">
        <f t="shared" si="58"/>
        <v>0</v>
      </c>
      <c r="U136" s="26"/>
      <c r="V136" s="26"/>
      <c r="W136" s="253"/>
      <c r="X136" s="262"/>
      <c r="Y136" s="262"/>
      <c r="Z136" s="262"/>
      <c r="AA136" s="262"/>
      <c r="AB136" s="262"/>
      <c r="AC136" s="262"/>
      <c r="AD136" s="320"/>
      <c r="AE136" s="320"/>
      <c r="AF136" s="320"/>
      <c r="AG136" s="320"/>
      <c r="AH136" s="692"/>
      <c r="AI136" s="692"/>
      <c r="AJ136" s="692"/>
      <c r="AK136" s="692"/>
      <c r="AL136" s="1013"/>
      <c r="AM136" s="1013"/>
      <c r="AN136" s="1013"/>
      <c r="AO136" s="1013"/>
    </row>
    <row r="137" spans="1:41" ht="36.75" x14ac:dyDescent="0.25">
      <c r="A137" s="159"/>
      <c r="B137" s="155" t="s">
        <v>109</v>
      </c>
      <c r="C137" s="155" t="s">
        <v>632</v>
      </c>
      <c r="D137" s="26">
        <f t="shared" si="59"/>
        <v>39.735999999999997</v>
      </c>
      <c r="E137" s="24">
        <f t="shared" si="53"/>
        <v>0</v>
      </c>
      <c r="F137" s="24">
        <f t="shared" si="53"/>
        <v>0</v>
      </c>
      <c r="G137" s="24">
        <f t="shared" si="46"/>
        <v>39.735999999999997</v>
      </c>
      <c r="H137" s="976"/>
      <c r="I137" s="976"/>
      <c r="J137" s="976"/>
      <c r="K137" s="976"/>
      <c r="L137" s="976"/>
      <c r="M137" s="994"/>
      <c r="N137" s="967"/>
      <c r="O137" s="967"/>
      <c r="P137" s="976">
        <f>Q137+R137+S137</f>
        <v>0</v>
      </c>
      <c r="Q137" s="982"/>
      <c r="R137" s="991"/>
      <c r="S137" s="967"/>
      <c r="T137" s="251">
        <f t="shared" si="58"/>
        <v>39.735999999999997</v>
      </c>
      <c r="U137" s="26"/>
      <c r="V137" s="26"/>
      <c r="W137" s="26">
        <v>39.735999999999997</v>
      </c>
      <c r="X137" s="262"/>
      <c r="Y137" s="262"/>
      <c r="Z137" s="262"/>
      <c r="AA137" s="262"/>
      <c r="AB137" s="262"/>
      <c r="AC137" s="262"/>
      <c r="AD137" s="320"/>
      <c r="AE137" s="320"/>
      <c r="AF137" s="320"/>
      <c r="AG137" s="320"/>
      <c r="AH137" s="692"/>
      <c r="AI137" s="692"/>
      <c r="AJ137" s="692"/>
      <c r="AK137" s="692"/>
      <c r="AL137" s="1013"/>
      <c r="AM137" s="1013"/>
      <c r="AN137" s="1013"/>
      <c r="AO137" s="1013"/>
    </row>
    <row r="138" spans="1:41" ht="24.75" x14ac:dyDescent="0.25">
      <c r="A138" s="159"/>
      <c r="B138" s="155" t="s">
        <v>361</v>
      </c>
      <c r="C138" s="155" t="s">
        <v>18</v>
      </c>
      <c r="D138" s="26">
        <f t="shared" si="59"/>
        <v>30</v>
      </c>
      <c r="E138" s="24">
        <f t="shared" si="53"/>
        <v>0</v>
      </c>
      <c r="F138" s="24">
        <f t="shared" si="53"/>
        <v>0</v>
      </c>
      <c r="G138" s="24">
        <f t="shared" si="46"/>
        <v>30</v>
      </c>
      <c r="H138" s="976"/>
      <c r="I138" s="976"/>
      <c r="J138" s="976"/>
      <c r="K138" s="976"/>
      <c r="L138" s="976"/>
      <c r="M138" s="994"/>
      <c r="N138" s="967"/>
      <c r="O138" s="967"/>
      <c r="P138" s="976">
        <f>Q138+R138+S138</f>
        <v>30</v>
      </c>
      <c r="Q138" s="982"/>
      <c r="R138" s="991"/>
      <c r="S138" s="967">
        <v>30</v>
      </c>
      <c r="T138" s="26"/>
      <c r="U138" s="26"/>
      <c r="V138" s="26"/>
      <c r="W138" s="253"/>
      <c r="X138" s="262"/>
      <c r="Y138" s="262"/>
      <c r="Z138" s="262"/>
      <c r="AA138" s="262"/>
      <c r="AB138" s="262"/>
      <c r="AC138" s="262"/>
      <c r="AD138" s="320"/>
      <c r="AE138" s="320"/>
      <c r="AF138" s="320"/>
      <c r="AG138" s="320"/>
      <c r="AH138" s="692"/>
      <c r="AI138" s="692"/>
      <c r="AJ138" s="692"/>
      <c r="AK138" s="692"/>
      <c r="AL138" s="1013"/>
      <c r="AM138" s="1013"/>
      <c r="AN138" s="1013"/>
      <c r="AO138" s="1013"/>
    </row>
    <row r="139" spans="1:41" ht="24.75" x14ac:dyDescent="0.25">
      <c r="A139" s="159"/>
      <c r="B139" s="155" t="s">
        <v>569</v>
      </c>
      <c r="C139" s="155" t="s">
        <v>450</v>
      </c>
      <c r="D139" s="26">
        <f t="shared" si="59"/>
        <v>78.16</v>
      </c>
      <c r="E139" s="24">
        <f t="shared" si="53"/>
        <v>0</v>
      </c>
      <c r="F139" s="24">
        <f t="shared" si="53"/>
        <v>0</v>
      </c>
      <c r="G139" s="24">
        <f t="shared" si="46"/>
        <v>78.16</v>
      </c>
      <c r="H139" s="976"/>
      <c r="I139" s="976"/>
      <c r="J139" s="976"/>
      <c r="K139" s="976"/>
      <c r="L139" s="976"/>
      <c r="M139" s="994"/>
      <c r="N139" s="967"/>
      <c r="O139" s="967"/>
      <c r="P139" s="976">
        <f t="shared" ref="P139:P140" si="60">Q139+R139+S139</f>
        <v>78.16</v>
      </c>
      <c r="Q139" s="982"/>
      <c r="R139" s="991"/>
      <c r="S139" s="967">
        <v>78.16</v>
      </c>
      <c r="T139" s="26"/>
      <c r="U139" s="26"/>
      <c r="V139" s="26"/>
      <c r="W139" s="253"/>
      <c r="X139" s="262"/>
      <c r="Y139" s="262"/>
      <c r="Z139" s="262"/>
      <c r="AA139" s="262"/>
      <c r="AB139" s="262"/>
      <c r="AC139" s="262"/>
      <c r="AD139" s="320"/>
      <c r="AE139" s="320"/>
      <c r="AF139" s="320"/>
      <c r="AG139" s="320"/>
      <c r="AH139" s="692"/>
      <c r="AI139" s="692"/>
      <c r="AJ139" s="692"/>
      <c r="AK139" s="692"/>
      <c r="AL139" s="1013"/>
      <c r="AM139" s="1013"/>
      <c r="AN139" s="1013"/>
      <c r="AO139" s="1013"/>
    </row>
    <row r="140" spans="1:41" ht="15" x14ac:dyDescent="0.25">
      <c r="A140" s="159"/>
      <c r="B140" s="155" t="s">
        <v>109</v>
      </c>
      <c r="C140" s="155" t="s">
        <v>566</v>
      </c>
      <c r="D140" s="26">
        <f t="shared" si="59"/>
        <v>250</v>
      </c>
      <c r="E140" s="24">
        <f t="shared" si="53"/>
        <v>0</v>
      </c>
      <c r="F140" s="24">
        <f t="shared" si="53"/>
        <v>0</v>
      </c>
      <c r="G140" s="24">
        <f t="shared" si="46"/>
        <v>250</v>
      </c>
      <c r="H140" s="976"/>
      <c r="I140" s="976"/>
      <c r="J140" s="976"/>
      <c r="K140" s="976"/>
      <c r="L140" s="976"/>
      <c r="M140" s="994"/>
      <c r="N140" s="967"/>
      <c r="O140" s="967"/>
      <c r="P140" s="976">
        <f t="shared" si="60"/>
        <v>250</v>
      </c>
      <c r="Q140" s="982"/>
      <c r="R140" s="991"/>
      <c r="S140" s="967">
        <v>250</v>
      </c>
      <c r="T140" s="26"/>
      <c r="U140" s="26"/>
      <c r="V140" s="26"/>
      <c r="W140" s="253"/>
      <c r="X140" s="262"/>
      <c r="Y140" s="262"/>
      <c r="Z140" s="262"/>
      <c r="AA140" s="262"/>
      <c r="AB140" s="262"/>
      <c r="AC140" s="262"/>
      <c r="AD140" s="320"/>
      <c r="AE140" s="320"/>
      <c r="AF140" s="320"/>
      <c r="AG140" s="320"/>
      <c r="AH140" s="692"/>
      <c r="AI140" s="692"/>
      <c r="AJ140" s="692"/>
      <c r="AK140" s="692"/>
      <c r="AL140" s="1013"/>
      <c r="AM140" s="1013"/>
      <c r="AN140" s="1013"/>
      <c r="AO140" s="1013"/>
    </row>
    <row r="141" spans="1:41" ht="48.75" x14ac:dyDescent="0.25">
      <c r="A141" s="159"/>
      <c r="B141" s="155" t="s">
        <v>594</v>
      </c>
      <c r="C141" s="155" t="s">
        <v>595</v>
      </c>
      <c r="D141" s="26">
        <f t="shared" si="59"/>
        <v>413.10500000000002</v>
      </c>
      <c r="E141" s="24">
        <f t="shared" si="53"/>
        <v>0</v>
      </c>
      <c r="F141" s="24">
        <f t="shared" si="53"/>
        <v>0</v>
      </c>
      <c r="G141" s="24">
        <f t="shared" si="46"/>
        <v>413.10500000000002</v>
      </c>
      <c r="H141" s="976"/>
      <c r="I141" s="976"/>
      <c r="J141" s="976"/>
      <c r="K141" s="976"/>
      <c r="L141" s="976"/>
      <c r="M141" s="994"/>
      <c r="N141" s="967"/>
      <c r="O141" s="967"/>
      <c r="P141" s="976"/>
      <c r="Q141" s="982"/>
      <c r="R141" s="991"/>
      <c r="S141" s="967"/>
      <c r="T141" s="26">
        <f>U141+V141+W141</f>
        <v>413.10500000000002</v>
      </c>
      <c r="U141" s="26"/>
      <c r="V141" s="26"/>
      <c r="W141" s="26">
        <v>413.10500000000002</v>
      </c>
      <c r="X141" s="262"/>
      <c r="Y141" s="262"/>
      <c r="Z141" s="262"/>
      <c r="AA141" s="262"/>
      <c r="AB141" s="262"/>
      <c r="AC141" s="262"/>
      <c r="AD141" s="320"/>
      <c r="AE141" s="320"/>
      <c r="AF141" s="320"/>
      <c r="AG141" s="320"/>
      <c r="AH141" s="692"/>
      <c r="AI141" s="692"/>
      <c r="AJ141" s="692"/>
      <c r="AK141" s="692"/>
      <c r="AL141" s="1013"/>
      <c r="AM141" s="1013"/>
      <c r="AN141" s="1013"/>
      <c r="AO141" s="1013"/>
    </row>
    <row r="142" spans="1:41" ht="48.75" x14ac:dyDescent="0.25">
      <c r="A142" s="163" t="s">
        <v>192</v>
      </c>
      <c r="B142" s="161" t="s">
        <v>157</v>
      </c>
      <c r="C142" s="161"/>
      <c r="D142" s="253">
        <f>F142+E142+G142</f>
        <v>18879.040300000001</v>
      </c>
      <c r="E142" s="739">
        <f t="shared" ref="E142:F142" si="61">I142+M142+Q142+U142+AE142+AI142</f>
        <v>0</v>
      </c>
      <c r="F142" s="739">
        <f t="shared" si="61"/>
        <v>6059.1671999999999</v>
      </c>
      <c r="G142" s="739">
        <f>K142+O142+S142+W142+AG142+AK142+AO142</f>
        <v>12819.873100000001</v>
      </c>
      <c r="H142" s="992"/>
      <c r="I142" s="992"/>
      <c r="J142" s="980"/>
      <c r="K142" s="980"/>
      <c r="L142" s="980">
        <f t="shared" ref="L142:V142" si="62">SUM(L143:L173)</f>
        <v>1803.8609999999999</v>
      </c>
      <c r="M142" s="980">
        <f t="shared" si="62"/>
        <v>0</v>
      </c>
      <c r="N142" s="980">
        <f t="shared" si="62"/>
        <v>890.65499999999997</v>
      </c>
      <c r="O142" s="980">
        <f t="shared" si="62"/>
        <v>913.2059999999999</v>
      </c>
      <c r="P142" s="980">
        <f t="shared" si="62"/>
        <v>4307.5810000000001</v>
      </c>
      <c r="Q142" s="980">
        <f t="shared" si="62"/>
        <v>0</v>
      </c>
      <c r="R142" s="980">
        <f t="shared" si="62"/>
        <v>1673.5119999999999</v>
      </c>
      <c r="S142" s="980">
        <f t="shared" si="62"/>
        <v>2634.0690000000004</v>
      </c>
      <c r="T142" s="253">
        <f>V142+W142</f>
        <v>11070.1983</v>
      </c>
      <c r="U142" s="253">
        <f t="shared" si="62"/>
        <v>0</v>
      </c>
      <c r="V142" s="253">
        <f t="shared" si="62"/>
        <v>1910.6001999999999</v>
      </c>
      <c r="W142" s="253">
        <f>SUM(W143:W181)</f>
        <v>9159.5980999999992</v>
      </c>
      <c r="X142" s="262"/>
      <c r="Y142" s="262"/>
      <c r="Z142" s="262"/>
      <c r="AA142" s="262"/>
      <c r="AB142" s="262"/>
      <c r="AC142" s="262"/>
      <c r="AD142" s="287">
        <f>AE142+AF142+AG142</f>
        <v>1079.5</v>
      </c>
      <c r="AE142" s="253">
        <f t="shared" ref="AE142:AF142" si="63">SUM(AE143:AE178)</f>
        <v>0</v>
      </c>
      <c r="AF142" s="253">
        <f t="shared" si="63"/>
        <v>1025.5</v>
      </c>
      <c r="AG142" s="253">
        <f>SUM(AG143:AG178)</f>
        <v>54</v>
      </c>
      <c r="AH142" s="287">
        <f>AI142+AJ142+AK142</f>
        <v>588.4</v>
      </c>
      <c r="AI142" s="253">
        <f t="shared" ref="AI142" si="64">SUM(AI143:AI178)</f>
        <v>0</v>
      </c>
      <c r="AJ142" s="253">
        <v>558.9</v>
      </c>
      <c r="AK142" s="253">
        <f>SUM(AK143:AK178)</f>
        <v>29.5</v>
      </c>
      <c r="AL142" s="1017">
        <f>AM142+AN142+AO142</f>
        <v>588.20000000000005</v>
      </c>
      <c r="AM142" s="253">
        <f t="shared" ref="AM142" si="65">SUM(AM143:AM178)</f>
        <v>0</v>
      </c>
      <c r="AN142" s="253">
        <v>558.70000000000005</v>
      </c>
      <c r="AO142" s="253">
        <f>SUM(AO143:AO178)</f>
        <v>29.5</v>
      </c>
    </row>
    <row r="143" spans="1:41" ht="24.75" x14ac:dyDescent="0.25">
      <c r="A143" s="163"/>
      <c r="B143" s="155" t="s">
        <v>109</v>
      </c>
      <c r="C143" s="155" t="s">
        <v>291</v>
      </c>
      <c r="D143" s="26">
        <f>E143+F143+G143</f>
        <v>194.24323999999999</v>
      </c>
      <c r="E143" s="250">
        <f t="shared" ref="E143:G177" si="66">I143+M143+Q143+U143+AE143+AI143+AM143</f>
        <v>0</v>
      </c>
      <c r="F143" s="250">
        <f t="shared" si="66"/>
        <v>155.39424</v>
      </c>
      <c r="G143" s="250">
        <f t="shared" si="66"/>
        <v>38.848999999999997</v>
      </c>
      <c r="H143" s="992"/>
      <c r="I143" s="992"/>
      <c r="J143" s="980"/>
      <c r="K143" s="980"/>
      <c r="L143" s="980"/>
      <c r="M143" s="980"/>
      <c r="N143" s="980"/>
      <c r="O143" s="995"/>
      <c r="P143" s="976">
        <f>Q143+R143+S143</f>
        <v>194.24323999999999</v>
      </c>
      <c r="Q143" s="979"/>
      <c r="R143" s="967">
        <v>155.39424</v>
      </c>
      <c r="S143" s="967">
        <v>38.848999999999997</v>
      </c>
      <c r="T143" s="252"/>
      <c r="U143" s="253"/>
      <c r="V143" s="253"/>
      <c r="W143" s="253"/>
      <c r="X143" s="262"/>
      <c r="Y143" s="262"/>
      <c r="Z143" s="262"/>
      <c r="AA143" s="262"/>
      <c r="AB143" s="262"/>
      <c r="AC143" s="262"/>
      <c r="AD143" s="254"/>
      <c r="AE143" s="253"/>
      <c r="AF143" s="253"/>
      <c r="AG143" s="253"/>
      <c r="AH143" s="692"/>
      <c r="AI143" s="692"/>
      <c r="AJ143" s="692"/>
      <c r="AK143" s="692"/>
      <c r="AL143" s="1013"/>
      <c r="AM143" s="1013"/>
      <c r="AN143" s="1013"/>
      <c r="AO143" s="1013"/>
    </row>
    <row r="144" spans="1:41" ht="15" x14ac:dyDescent="0.25">
      <c r="A144" s="163"/>
      <c r="B144" s="108" t="s">
        <v>181</v>
      </c>
      <c r="C144" s="155" t="s">
        <v>29</v>
      </c>
      <c r="D144" s="26">
        <f t="shared" ref="D144:D199" si="67">E144+F144+G144</f>
        <v>1329.2439999999999</v>
      </c>
      <c r="E144" s="250">
        <f t="shared" si="66"/>
        <v>0</v>
      </c>
      <c r="F144" s="250">
        <f t="shared" si="66"/>
        <v>890.65499999999997</v>
      </c>
      <c r="G144" s="250">
        <f t="shared" si="66"/>
        <v>438.589</v>
      </c>
      <c r="H144" s="991"/>
      <c r="I144" s="991"/>
      <c r="J144" s="967"/>
      <c r="K144" s="967"/>
      <c r="L144" s="967">
        <f>M144+N144+O144</f>
        <v>1329.2439999999999</v>
      </c>
      <c r="M144" s="967"/>
      <c r="N144" s="975">
        <v>890.65499999999997</v>
      </c>
      <c r="O144" s="996">
        <v>438.589</v>
      </c>
      <c r="P144" s="982"/>
      <c r="Q144" s="980"/>
      <c r="R144" s="980"/>
      <c r="S144" s="980"/>
      <c r="T144" s="252"/>
      <c r="U144" s="253"/>
      <c r="V144" s="253"/>
      <c r="W144" s="253"/>
      <c r="X144" s="262"/>
      <c r="Y144" s="262"/>
      <c r="Z144" s="262"/>
      <c r="AA144" s="262"/>
      <c r="AB144" s="262"/>
      <c r="AC144" s="262"/>
      <c r="AD144" s="320"/>
      <c r="AE144" s="320"/>
      <c r="AF144" s="320"/>
      <c r="AG144" s="320"/>
      <c r="AH144" s="692"/>
      <c r="AI144" s="692"/>
      <c r="AJ144" s="692"/>
      <c r="AK144" s="692"/>
      <c r="AL144" s="1013"/>
      <c r="AM144" s="1013"/>
      <c r="AN144" s="1013"/>
      <c r="AO144" s="1013"/>
    </row>
    <row r="145" spans="1:41" ht="15" x14ac:dyDescent="0.25">
      <c r="A145" s="292"/>
      <c r="B145" s="155" t="s">
        <v>179</v>
      </c>
      <c r="C145" s="155" t="s">
        <v>29</v>
      </c>
      <c r="D145" s="26">
        <f t="shared" si="67"/>
        <v>218.417</v>
      </c>
      <c r="E145" s="250">
        <f t="shared" si="66"/>
        <v>0</v>
      </c>
      <c r="F145" s="250">
        <f t="shared" si="66"/>
        <v>0</v>
      </c>
      <c r="G145" s="250">
        <f t="shared" si="66"/>
        <v>218.417</v>
      </c>
      <c r="H145" s="997"/>
      <c r="I145" s="997"/>
      <c r="J145" s="976"/>
      <c r="K145" s="976"/>
      <c r="L145" s="976">
        <f>M145+N145+O145</f>
        <v>218.417</v>
      </c>
      <c r="M145" s="967"/>
      <c r="N145" s="975"/>
      <c r="O145" s="996">
        <v>218.417</v>
      </c>
      <c r="P145" s="982"/>
      <c r="Q145" s="982"/>
      <c r="R145" s="967"/>
      <c r="S145" s="967"/>
      <c r="T145" s="252"/>
      <c r="U145" s="26"/>
      <c r="V145" s="26"/>
      <c r="W145" s="26"/>
      <c r="X145" s="262"/>
      <c r="Y145" s="262"/>
      <c r="Z145" s="262"/>
      <c r="AA145" s="262"/>
      <c r="AB145" s="262"/>
      <c r="AC145" s="262"/>
      <c r="AD145" s="320"/>
      <c r="AE145" s="320"/>
      <c r="AF145" s="320"/>
      <c r="AG145" s="320"/>
      <c r="AH145" s="692"/>
      <c r="AI145" s="692"/>
      <c r="AJ145" s="692"/>
      <c r="AK145" s="692"/>
      <c r="AL145" s="1013"/>
      <c r="AM145" s="1013"/>
      <c r="AN145" s="1013"/>
      <c r="AO145" s="1013"/>
    </row>
    <row r="146" spans="1:41" ht="15.75" customHeight="1" x14ac:dyDescent="0.25">
      <c r="A146" s="292"/>
      <c r="B146" s="155" t="s">
        <v>339</v>
      </c>
      <c r="C146" s="155" t="s">
        <v>313</v>
      </c>
      <c r="D146" s="26">
        <f t="shared" si="67"/>
        <v>263.62475000000001</v>
      </c>
      <c r="E146" s="250">
        <f t="shared" si="66"/>
        <v>0</v>
      </c>
      <c r="F146" s="250">
        <f t="shared" si="66"/>
        <v>250.44374999999999</v>
      </c>
      <c r="G146" s="250">
        <f t="shared" si="66"/>
        <v>13.180999999999999</v>
      </c>
      <c r="H146" s="997"/>
      <c r="I146" s="997"/>
      <c r="J146" s="976"/>
      <c r="K146" s="976"/>
      <c r="L146" s="976"/>
      <c r="M146" s="967"/>
      <c r="N146" s="975"/>
      <c r="O146" s="998"/>
      <c r="P146" s="979">
        <f>Q146+R146+S146</f>
        <v>263.62475000000001</v>
      </c>
      <c r="Q146" s="979"/>
      <c r="R146" s="967">
        <v>250.44374999999999</v>
      </c>
      <c r="S146" s="967">
        <v>13.180999999999999</v>
      </c>
      <c r="T146" s="252"/>
      <c r="U146" s="26"/>
      <c r="V146" s="26"/>
      <c r="W146" s="26"/>
      <c r="X146" s="262"/>
      <c r="Y146" s="262"/>
      <c r="Z146" s="262"/>
      <c r="AA146" s="262"/>
      <c r="AB146" s="262"/>
      <c r="AC146" s="262"/>
      <c r="AD146" s="320"/>
      <c r="AE146" s="320"/>
      <c r="AF146" s="320"/>
      <c r="AG146" s="320"/>
      <c r="AH146" s="692"/>
      <c r="AI146" s="692"/>
      <c r="AJ146" s="692"/>
      <c r="AK146" s="692"/>
      <c r="AL146" s="1013"/>
      <c r="AM146" s="1013"/>
      <c r="AN146" s="1013"/>
      <c r="AO146" s="1013"/>
    </row>
    <row r="147" spans="1:41" ht="30.75" customHeight="1" x14ac:dyDescent="0.25">
      <c r="A147" s="292"/>
      <c r="B147" s="492" t="s">
        <v>624</v>
      </c>
      <c r="C147" s="155" t="s">
        <v>615</v>
      </c>
      <c r="D147" s="26">
        <f t="shared" si="67"/>
        <v>266.06600000000003</v>
      </c>
      <c r="E147" s="250">
        <f t="shared" si="66"/>
        <v>0</v>
      </c>
      <c r="F147" s="250">
        <f t="shared" si="66"/>
        <v>0</v>
      </c>
      <c r="G147" s="250">
        <f t="shared" si="66"/>
        <v>266.06600000000003</v>
      </c>
      <c r="H147" s="997"/>
      <c r="I147" s="997"/>
      <c r="J147" s="976"/>
      <c r="K147" s="976"/>
      <c r="L147" s="976"/>
      <c r="M147" s="967"/>
      <c r="N147" s="975"/>
      <c r="O147" s="998"/>
      <c r="P147" s="979">
        <f>Q147+R147+S147</f>
        <v>216.066</v>
      </c>
      <c r="Q147" s="982"/>
      <c r="R147" s="967"/>
      <c r="S147" s="967">
        <v>216.066</v>
      </c>
      <c r="T147" s="252">
        <f t="shared" ref="T147" si="68">U147+V147+W147</f>
        <v>50</v>
      </c>
      <c r="U147" s="26"/>
      <c r="V147" s="26"/>
      <c r="W147" s="26">
        <v>50</v>
      </c>
      <c r="X147" s="262"/>
      <c r="Y147" s="262"/>
      <c r="Z147" s="262"/>
      <c r="AA147" s="262"/>
      <c r="AB147" s="262"/>
      <c r="AC147" s="262"/>
      <c r="AD147" s="320"/>
      <c r="AE147" s="320"/>
      <c r="AF147" s="320"/>
      <c r="AG147" s="320"/>
      <c r="AH147" s="692"/>
      <c r="AI147" s="692"/>
      <c r="AJ147" s="692"/>
      <c r="AK147" s="692"/>
      <c r="AL147" s="1013"/>
      <c r="AM147" s="1013"/>
      <c r="AN147" s="1013"/>
      <c r="AO147" s="1013"/>
    </row>
    <row r="148" spans="1:41" ht="15.75" customHeight="1" x14ac:dyDescent="0.25">
      <c r="A148" s="292"/>
      <c r="B148" s="108" t="s">
        <v>341</v>
      </c>
      <c r="C148" s="155" t="s">
        <v>31</v>
      </c>
      <c r="D148" s="26">
        <f t="shared" si="67"/>
        <v>496.98500000000001</v>
      </c>
      <c r="E148" s="250">
        <f t="shared" si="66"/>
        <v>0</v>
      </c>
      <c r="F148" s="250">
        <f t="shared" si="66"/>
        <v>0</v>
      </c>
      <c r="G148" s="250">
        <f t="shared" si="66"/>
        <v>496.98500000000001</v>
      </c>
      <c r="H148" s="997"/>
      <c r="I148" s="997"/>
      <c r="J148" s="976"/>
      <c r="K148" s="976"/>
      <c r="L148" s="976"/>
      <c r="M148" s="967"/>
      <c r="N148" s="975"/>
      <c r="O148" s="998"/>
      <c r="P148" s="979">
        <f t="shared" ref="P148:P155" si="69">Q148+R148+S148</f>
        <v>496.98500000000001</v>
      </c>
      <c r="Q148" s="982"/>
      <c r="R148" s="967"/>
      <c r="S148" s="967">
        <v>496.98500000000001</v>
      </c>
      <c r="T148" s="252"/>
      <c r="U148" s="26"/>
      <c r="V148" s="26"/>
      <c r="W148" s="26"/>
      <c r="X148" s="262"/>
      <c r="Y148" s="262"/>
      <c r="Z148" s="262"/>
      <c r="AA148" s="262"/>
      <c r="AB148" s="262"/>
      <c r="AC148" s="262"/>
      <c r="AD148" s="320"/>
      <c r="AE148" s="320"/>
      <c r="AF148" s="320"/>
      <c r="AG148" s="320"/>
      <c r="AH148" s="692"/>
      <c r="AI148" s="692"/>
      <c r="AJ148" s="692"/>
      <c r="AK148" s="692"/>
      <c r="AL148" s="1013"/>
      <c r="AM148" s="1013"/>
      <c r="AN148" s="1013"/>
      <c r="AO148" s="1013"/>
    </row>
    <row r="149" spans="1:41" ht="15.75" customHeight="1" x14ac:dyDescent="0.25">
      <c r="A149" s="292"/>
      <c r="B149" s="108" t="s">
        <v>292</v>
      </c>
      <c r="C149" s="155" t="s">
        <v>161</v>
      </c>
      <c r="D149" s="26">
        <f t="shared" si="67"/>
        <v>543.29300000000001</v>
      </c>
      <c r="E149" s="250">
        <f t="shared" si="66"/>
        <v>0</v>
      </c>
      <c r="F149" s="250">
        <f t="shared" si="66"/>
        <v>0</v>
      </c>
      <c r="G149" s="250">
        <f t="shared" si="66"/>
        <v>543.29300000000001</v>
      </c>
      <c r="H149" s="997"/>
      <c r="I149" s="997"/>
      <c r="J149" s="976"/>
      <c r="K149" s="976"/>
      <c r="L149" s="976"/>
      <c r="M149" s="967"/>
      <c r="N149" s="975"/>
      <c r="O149" s="998"/>
      <c r="P149" s="979">
        <f t="shared" si="69"/>
        <v>543.29300000000001</v>
      </c>
      <c r="Q149" s="982"/>
      <c r="R149" s="967"/>
      <c r="S149" s="967">
        <v>543.29300000000001</v>
      </c>
      <c r="T149" s="252"/>
      <c r="U149" s="26"/>
      <c r="V149" s="26"/>
      <c r="W149" s="26"/>
      <c r="X149" s="262"/>
      <c r="Y149" s="262"/>
      <c r="Z149" s="262"/>
      <c r="AA149" s="262"/>
      <c r="AB149" s="262"/>
      <c r="AC149" s="262"/>
      <c r="AD149" s="320"/>
      <c r="AE149" s="320"/>
      <c r="AF149" s="320"/>
      <c r="AG149" s="320"/>
      <c r="AH149" s="692"/>
      <c r="AI149" s="692"/>
      <c r="AJ149" s="692"/>
      <c r="AK149" s="692"/>
      <c r="AL149" s="1013"/>
      <c r="AM149" s="1013"/>
      <c r="AN149" s="1013"/>
      <c r="AO149" s="1013"/>
    </row>
    <row r="150" spans="1:41" ht="15.75" customHeight="1" x14ac:dyDescent="0.25">
      <c r="A150" s="292"/>
      <c r="B150" s="108" t="s">
        <v>292</v>
      </c>
      <c r="C150" s="155" t="s">
        <v>32</v>
      </c>
      <c r="D150" s="26">
        <f t="shared" si="67"/>
        <v>581.03800000000001</v>
      </c>
      <c r="E150" s="250">
        <f t="shared" si="66"/>
        <v>0</v>
      </c>
      <c r="F150" s="250">
        <f t="shared" si="66"/>
        <v>0</v>
      </c>
      <c r="G150" s="250">
        <f t="shared" si="66"/>
        <v>581.03800000000001</v>
      </c>
      <c r="H150" s="997"/>
      <c r="I150" s="997"/>
      <c r="J150" s="976"/>
      <c r="K150" s="976"/>
      <c r="L150" s="976"/>
      <c r="M150" s="967"/>
      <c r="N150" s="975"/>
      <c r="O150" s="998"/>
      <c r="P150" s="979">
        <f t="shared" si="69"/>
        <v>581.03800000000001</v>
      </c>
      <c r="Q150" s="982"/>
      <c r="R150" s="967"/>
      <c r="S150" s="967">
        <v>581.03800000000001</v>
      </c>
      <c r="T150" s="252"/>
      <c r="U150" s="26"/>
      <c r="V150" s="26"/>
      <c r="W150" s="26"/>
      <c r="X150" s="262"/>
      <c r="Y150" s="262"/>
      <c r="Z150" s="262"/>
      <c r="AA150" s="262"/>
      <c r="AB150" s="262"/>
      <c r="AC150" s="262"/>
      <c r="AD150" s="320"/>
      <c r="AE150" s="320"/>
      <c r="AF150" s="320"/>
      <c r="AG150" s="320"/>
      <c r="AH150" s="692"/>
      <c r="AI150" s="692"/>
      <c r="AJ150" s="692"/>
      <c r="AK150" s="692"/>
      <c r="AL150" s="1013"/>
      <c r="AM150" s="1013"/>
      <c r="AN150" s="1013"/>
      <c r="AO150" s="1013"/>
    </row>
    <row r="151" spans="1:41" ht="15.75" customHeight="1" x14ac:dyDescent="0.25">
      <c r="A151" s="292"/>
      <c r="B151" s="108" t="s">
        <v>293</v>
      </c>
      <c r="C151" s="155" t="s">
        <v>294</v>
      </c>
      <c r="D151" s="26">
        <f t="shared" si="67"/>
        <v>140</v>
      </c>
      <c r="E151" s="250">
        <f t="shared" si="66"/>
        <v>0</v>
      </c>
      <c r="F151" s="250">
        <f t="shared" si="66"/>
        <v>0</v>
      </c>
      <c r="G151" s="250">
        <f t="shared" si="66"/>
        <v>140</v>
      </c>
      <c r="H151" s="997"/>
      <c r="I151" s="997"/>
      <c r="J151" s="976"/>
      <c r="K151" s="976"/>
      <c r="L151" s="976"/>
      <c r="M151" s="967"/>
      <c r="N151" s="975"/>
      <c r="O151" s="998"/>
      <c r="P151" s="979">
        <f t="shared" si="69"/>
        <v>140</v>
      </c>
      <c r="Q151" s="982"/>
      <c r="R151" s="967"/>
      <c r="S151" s="967">
        <v>140</v>
      </c>
      <c r="T151" s="252"/>
      <c r="U151" s="26"/>
      <c r="V151" s="26"/>
      <c r="W151" s="26"/>
      <c r="X151" s="262"/>
      <c r="Y151" s="262"/>
      <c r="Z151" s="262"/>
      <c r="AA151" s="262"/>
      <c r="AB151" s="262"/>
      <c r="AC151" s="262"/>
      <c r="AD151" s="320"/>
      <c r="AE151" s="320"/>
      <c r="AF151" s="320"/>
      <c r="AG151" s="320"/>
      <c r="AH151" s="692"/>
      <c r="AI151" s="692"/>
      <c r="AJ151" s="692"/>
      <c r="AK151" s="692"/>
      <c r="AL151" s="1013"/>
      <c r="AM151" s="1013"/>
      <c r="AN151" s="1013"/>
      <c r="AO151" s="1013"/>
    </row>
    <row r="152" spans="1:41" ht="26.25" customHeight="1" x14ac:dyDescent="0.25">
      <c r="A152" s="292"/>
      <c r="B152" s="155" t="s">
        <v>316</v>
      </c>
      <c r="C152" s="155" t="s">
        <v>564</v>
      </c>
      <c r="D152" s="26">
        <f t="shared" si="67"/>
        <v>973.22299999999996</v>
      </c>
      <c r="E152" s="250">
        <f t="shared" si="66"/>
        <v>0</v>
      </c>
      <c r="F152" s="250">
        <f t="shared" si="66"/>
        <v>0</v>
      </c>
      <c r="G152" s="250">
        <f t="shared" si="66"/>
        <v>973.22299999999996</v>
      </c>
      <c r="H152" s="997"/>
      <c r="I152" s="997"/>
      <c r="J152" s="976"/>
      <c r="K152" s="976"/>
      <c r="L152" s="976"/>
      <c r="M152" s="967"/>
      <c r="N152" s="975"/>
      <c r="O152" s="998"/>
      <c r="P152" s="979">
        <f t="shared" si="69"/>
        <v>0</v>
      </c>
      <c r="Q152" s="982"/>
      <c r="R152" s="967"/>
      <c r="S152" s="967"/>
      <c r="T152" s="252">
        <f t="shared" ref="T152:T160" si="70">U152+V152+W152</f>
        <v>973.22299999999996</v>
      </c>
      <c r="U152" s="26"/>
      <c r="V152" s="26"/>
      <c r="W152" s="26">
        <f>639.111+334.112</f>
        <v>973.22299999999996</v>
      </c>
      <c r="X152" s="262"/>
      <c r="Y152" s="262"/>
      <c r="Z152" s="262"/>
      <c r="AA152" s="262"/>
      <c r="AB152" s="262"/>
      <c r="AC152" s="262"/>
      <c r="AD152" s="320"/>
      <c r="AE152" s="320"/>
      <c r="AF152" s="320"/>
      <c r="AG152" s="320"/>
      <c r="AH152" s="722">
        <f>AI152+AJ152+AK152</f>
        <v>0</v>
      </c>
      <c r="AI152" s="692"/>
      <c r="AJ152" s="722"/>
      <c r="AK152" s="705"/>
      <c r="AL152" s="1013"/>
      <c r="AM152" s="1013"/>
      <c r="AN152" s="1013"/>
      <c r="AO152" s="1013"/>
    </row>
    <row r="153" spans="1:41" ht="35.450000000000003" customHeight="1" x14ac:dyDescent="0.25">
      <c r="A153" s="292"/>
      <c r="B153" s="108" t="s">
        <v>292</v>
      </c>
      <c r="C153" s="155" t="s">
        <v>291</v>
      </c>
      <c r="D153" s="26">
        <f t="shared" si="67"/>
        <v>854.47072000000003</v>
      </c>
      <c r="E153" s="250">
        <f t="shared" si="66"/>
        <v>0</v>
      </c>
      <c r="F153" s="250">
        <f t="shared" si="66"/>
        <v>657.94272000000001</v>
      </c>
      <c r="G153" s="250">
        <f t="shared" si="66"/>
        <v>196.52799999999999</v>
      </c>
      <c r="H153" s="997"/>
      <c r="I153" s="997"/>
      <c r="J153" s="976"/>
      <c r="K153" s="976"/>
      <c r="L153" s="976"/>
      <c r="M153" s="967"/>
      <c r="N153" s="975"/>
      <c r="O153" s="998"/>
      <c r="P153" s="979">
        <f t="shared" si="69"/>
        <v>854.47072000000003</v>
      </c>
      <c r="Q153" s="979"/>
      <c r="R153" s="967">
        <v>657.94272000000001</v>
      </c>
      <c r="S153" s="967">
        <v>196.52799999999999</v>
      </c>
      <c r="T153" s="252">
        <f t="shared" si="70"/>
        <v>0</v>
      </c>
      <c r="U153" s="26"/>
      <c r="V153" s="26"/>
      <c r="W153" s="26"/>
      <c r="X153" s="262"/>
      <c r="Y153" s="262"/>
      <c r="Z153" s="262"/>
      <c r="AA153" s="262"/>
      <c r="AB153" s="262"/>
      <c r="AC153" s="262"/>
      <c r="AD153" s="284"/>
      <c r="AE153" s="320"/>
      <c r="AF153" s="320"/>
      <c r="AG153" s="320"/>
      <c r="AH153" s="692"/>
      <c r="AI153" s="692"/>
      <c r="AJ153" s="692"/>
      <c r="AK153" s="692"/>
      <c r="AL153" s="1013"/>
      <c r="AM153" s="1013"/>
      <c r="AN153" s="1013"/>
      <c r="AO153" s="1013"/>
    </row>
    <row r="154" spans="1:41" ht="23.25" customHeight="1" x14ac:dyDescent="0.25">
      <c r="A154" s="292"/>
      <c r="B154" s="108" t="s">
        <v>292</v>
      </c>
      <c r="C154" s="155" t="s">
        <v>27</v>
      </c>
      <c r="D154" s="26">
        <f t="shared" si="67"/>
        <v>0</v>
      </c>
      <c r="E154" s="250">
        <f t="shared" si="66"/>
        <v>0</v>
      </c>
      <c r="F154" s="250">
        <f t="shared" si="66"/>
        <v>0</v>
      </c>
      <c r="G154" s="250">
        <f t="shared" si="66"/>
        <v>0</v>
      </c>
      <c r="H154" s="997"/>
      <c r="I154" s="997"/>
      <c r="J154" s="976"/>
      <c r="K154" s="976"/>
      <c r="L154" s="976"/>
      <c r="M154" s="967"/>
      <c r="N154" s="975"/>
      <c r="O154" s="998"/>
      <c r="P154" s="979">
        <f t="shared" si="69"/>
        <v>0</v>
      </c>
      <c r="Q154" s="982"/>
      <c r="R154" s="967"/>
      <c r="S154" s="967"/>
      <c r="T154" s="252">
        <f t="shared" si="70"/>
        <v>0</v>
      </c>
      <c r="U154" s="26"/>
      <c r="V154" s="26"/>
      <c r="W154" s="26"/>
      <c r="X154" s="262"/>
      <c r="Y154" s="262"/>
      <c r="Z154" s="262"/>
      <c r="AA154" s="262"/>
      <c r="AB154" s="262"/>
      <c r="AC154" s="262"/>
      <c r="AD154" s="284"/>
      <c r="AE154" s="320"/>
      <c r="AF154" s="320"/>
      <c r="AG154" s="320"/>
      <c r="AH154" s="692"/>
      <c r="AI154" s="692"/>
      <c r="AJ154" s="692"/>
      <c r="AK154" s="692"/>
      <c r="AL154" s="1013"/>
      <c r="AM154" s="1013"/>
      <c r="AN154" s="1013"/>
      <c r="AO154" s="1013"/>
    </row>
    <row r="155" spans="1:41" ht="26.25" customHeight="1" x14ac:dyDescent="0.25">
      <c r="A155" s="292"/>
      <c r="B155" s="108" t="s">
        <v>372</v>
      </c>
      <c r="C155" s="155" t="s">
        <v>295</v>
      </c>
      <c r="D155" s="26">
        <f t="shared" si="67"/>
        <v>15</v>
      </c>
      <c r="E155" s="250">
        <f t="shared" si="66"/>
        <v>0</v>
      </c>
      <c r="F155" s="250">
        <f t="shared" si="66"/>
        <v>0</v>
      </c>
      <c r="G155" s="250">
        <f t="shared" si="66"/>
        <v>15</v>
      </c>
      <c r="H155" s="997"/>
      <c r="I155" s="997"/>
      <c r="J155" s="976"/>
      <c r="K155" s="976"/>
      <c r="L155" s="976"/>
      <c r="M155" s="967"/>
      <c r="N155" s="975"/>
      <c r="O155" s="998"/>
      <c r="P155" s="979">
        <f t="shared" si="69"/>
        <v>15</v>
      </c>
      <c r="Q155" s="982"/>
      <c r="R155" s="967"/>
      <c r="S155" s="967">
        <v>15</v>
      </c>
      <c r="T155" s="252">
        <f t="shared" si="70"/>
        <v>0</v>
      </c>
      <c r="U155" s="26"/>
      <c r="V155" s="26"/>
      <c r="W155" s="26"/>
      <c r="X155" s="262"/>
      <c r="Y155" s="262"/>
      <c r="Z155" s="262"/>
      <c r="AA155" s="262"/>
      <c r="AB155" s="262"/>
      <c r="AC155" s="262"/>
      <c r="AD155" s="284"/>
      <c r="AE155" s="320"/>
      <c r="AF155" s="320"/>
      <c r="AG155" s="320"/>
      <c r="AH155" s="692"/>
      <c r="AI155" s="692"/>
      <c r="AJ155" s="692"/>
      <c r="AK155" s="692"/>
      <c r="AL155" s="1013"/>
      <c r="AM155" s="1013"/>
      <c r="AN155" s="1013"/>
      <c r="AO155" s="1013"/>
    </row>
    <row r="156" spans="1:41" ht="29.25" customHeight="1" x14ac:dyDescent="0.25">
      <c r="A156" s="292"/>
      <c r="B156" s="465" t="s">
        <v>135</v>
      </c>
      <c r="C156" s="492" t="s">
        <v>616</v>
      </c>
      <c r="D156" s="26">
        <f t="shared" si="67"/>
        <v>219.27</v>
      </c>
      <c r="E156" s="250">
        <f t="shared" si="66"/>
        <v>0</v>
      </c>
      <c r="F156" s="250">
        <f t="shared" si="66"/>
        <v>0</v>
      </c>
      <c r="G156" s="250">
        <f t="shared" si="66"/>
        <v>219.27</v>
      </c>
      <c r="H156" s="997"/>
      <c r="I156" s="997"/>
      <c r="J156" s="976"/>
      <c r="K156" s="976"/>
      <c r="L156" s="976"/>
      <c r="M156" s="967"/>
      <c r="N156" s="975"/>
      <c r="O156" s="998"/>
      <c r="P156" s="979"/>
      <c r="Q156" s="982"/>
      <c r="R156" s="967"/>
      <c r="S156" s="967"/>
      <c r="T156" s="252">
        <f t="shared" si="70"/>
        <v>219.27</v>
      </c>
      <c r="U156" s="26"/>
      <c r="V156" s="26"/>
      <c r="W156" s="26">
        <f>231.073-11.803</f>
        <v>219.27</v>
      </c>
      <c r="X156" s="262"/>
      <c r="Y156" s="262"/>
      <c r="Z156" s="262"/>
      <c r="AA156" s="262"/>
      <c r="AB156" s="262"/>
      <c r="AC156" s="262"/>
      <c r="AD156" s="284"/>
      <c r="AE156" s="320"/>
      <c r="AF156" s="320"/>
      <c r="AG156" s="320"/>
      <c r="AH156" s="692"/>
      <c r="AI156" s="692"/>
      <c r="AJ156" s="692"/>
      <c r="AK156" s="692"/>
      <c r="AL156" s="1013"/>
      <c r="AM156" s="1013"/>
      <c r="AN156" s="1013"/>
      <c r="AO156" s="1013"/>
    </row>
    <row r="157" spans="1:41" ht="12.75" customHeight="1" x14ac:dyDescent="0.25">
      <c r="A157" s="292"/>
      <c r="B157" s="108" t="s">
        <v>296</v>
      </c>
      <c r="C157" s="155" t="s">
        <v>18</v>
      </c>
      <c r="D157" s="26">
        <f t="shared" si="67"/>
        <v>1481.338</v>
      </c>
      <c r="E157" s="250">
        <f t="shared" si="66"/>
        <v>0</v>
      </c>
      <c r="F157" s="250">
        <f t="shared" si="66"/>
        <v>1276.5</v>
      </c>
      <c r="G157" s="250">
        <f t="shared" si="66"/>
        <v>204.83799999999999</v>
      </c>
      <c r="H157" s="997"/>
      <c r="I157" s="997"/>
      <c r="J157" s="976"/>
      <c r="K157" s="976"/>
      <c r="L157" s="976"/>
      <c r="M157" s="967"/>
      <c r="N157" s="975"/>
      <c r="O157" s="998"/>
      <c r="P157" s="979"/>
      <c r="Q157" s="982"/>
      <c r="R157" s="967"/>
      <c r="S157" s="967"/>
      <c r="T157" s="252">
        <f t="shared" si="70"/>
        <v>1481.338</v>
      </c>
      <c r="U157" s="26"/>
      <c r="V157" s="26">
        <v>1276.5</v>
      </c>
      <c r="W157" s="26">
        <v>204.83799999999999</v>
      </c>
      <c r="X157" s="262"/>
      <c r="Y157" s="262"/>
      <c r="Z157" s="262"/>
      <c r="AA157" s="262"/>
      <c r="AB157" s="262"/>
      <c r="AC157" s="262"/>
      <c r="AD157" s="284"/>
      <c r="AE157" s="320"/>
      <c r="AF157" s="320"/>
      <c r="AG157" s="320"/>
      <c r="AH157" s="692"/>
      <c r="AI157" s="692"/>
      <c r="AJ157" s="692"/>
      <c r="AK157" s="692"/>
      <c r="AL157" s="1013"/>
      <c r="AM157" s="1013"/>
      <c r="AN157" s="1013"/>
      <c r="AO157" s="1013"/>
    </row>
    <row r="158" spans="1:41" ht="12.75" customHeight="1" x14ac:dyDescent="0.25">
      <c r="A158" s="292"/>
      <c r="B158" s="108" t="s">
        <v>48</v>
      </c>
      <c r="C158" s="155" t="s">
        <v>285</v>
      </c>
      <c r="D158" s="26">
        <f t="shared" si="67"/>
        <v>0</v>
      </c>
      <c r="E158" s="250">
        <f t="shared" si="66"/>
        <v>0</v>
      </c>
      <c r="F158" s="250">
        <f t="shared" si="66"/>
        <v>0</v>
      </c>
      <c r="G158" s="250">
        <f t="shared" si="66"/>
        <v>0</v>
      </c>
      <c r="H158" s="997"/>
      <c r="I158" s="997"/>
      <c r="J158" s="976"/>
      <c r="K158" s="976"/>
      <c r="L158" s="976"/>
      <c r="M158" s="967"/>
      <c r="N158" s="975"/>
      <c r="O158" s="998"/>
      <c r="P158" s="979"/>
      <c r="Q158" s="982"/>
      <c r="R158" s="967"/>
      <c r="S158" s="967"/>
      <c r="T158" s="252">
        <f t="shared" si="70"/>
        <v>0</v>
      </c>
      <c r="U158" s="26"/>
      <c r="V158" s="26"/>
      <c r="W158" s="26"/>
      <c r="X158" s="262"/>
      <c r="Y158" s="262"/>
      <c r="Z158" s="262"/>
      <c r="AA158" s="262"/>
      <c r="AB158" s="262"/>
      <c r="AC158" s="262"/>
      <c r="AD158" s="252">
        <f>AE158+AF158+AG158</f>
        <v>0</v>
      </c>
      <c r="AE158" s="320"/>
      <c r="AF158" s="721"/>
      <c r="AG158" s="693"/>
      <c r="AH158" s="692"/>
      <c r="AI158" s="692"/>
      <c r="AJ158" s="692"/>
      <c r="AK158" s="692"/>
      <c r="AL158" s="1013"/>
      <c r="AM158" s="1013"/>
      <c r="AN158" s="1013"/>
      <c r="AO158" s="1013"/>
    </row>
    <row r="159" spans="1:41" ht="12.75" customHeight="1" x14ac:dyDescent="0.25">
      <c r="A159" s="292"/>
      <c r="B159" s="108" t="s">
        <v>48</v>
      </c>
      <c r="C159" s="155" t="s">
        <v>298</v>
      </c>
      <c r="D159" s="26">
        <f t="shared" si="67"/>
        <v>0</v>
      </c>
      <c r="E159" s="250">
        <f t="shared" si="66"/>
        <v>0</v>
      </c>
      <c r="F159" s="250">
        <f t="shared" si="66"/>
        <v>0</v>
      </c>
      <c r="G159" s="250">
        <f t="shared" si="66"/>
        <v>0</v>
      </c>
      <c r="H159" s="997"/>
      <c r="I159" s="997"/>
      <c r="J159" s="976"/>
      <c r="K159" s="976"/>
      <c r="L159" s="976"/>
      <c r="M159" s="967"/>
      <c r="N159" s="975"/>
      <c r="O159" s="998"/>
      <c r="P159" s="979"/>
      <c r="Q159" s="982"/>
      <c r="R159" s="967"/>
      <c r="S159" s="967"/>
      <c r="T159" s="252">
        <f t="shared" si="70"/>
        <v>0</v>
      </c>
      <c r="U159" s="26"/>
      <c r="V159" s="26"/>
      <c r="W159" s="26"/>
      <c r="X159" s="262"/>
      <c r="Y159" s="262"/>
      <c r="Z159" s="262"/>
      <c r="AA159" s="262"/>
      <c r="AB159" s="262"/>
      <c r="AC159" s="262"/>
      <c r="AD159" s="252"/>
      <c r="AE159" s="320"/>
      <c r="AF159" s="320"/>
      <c r="AG159" s="320"/>
      <c r="AH159" s="692"/>
      <c r="AI159" s="692"/>
      <c r="AJ159" s="692"/>
      <c r="AK159" s="692"/>
      <c r="AL159" s="1013"/>
      <c r="AM159" s="1013"/>
      <c r="AN159" s="1013"/>
      <c r="AO159" s="1013"/>
    </row>
    <row r="160" spans="1:41" ht="12.75" customHeight="1" x14ac:dyDescent="0.25">
      <c r="A160" s="292"/>
      <c r="B160" s="108" t="s">
        <v>292</v>
      </c>
      <c r="C160" s="155" t="s">
        <v>46</v>
      </c>
      <c r="D160" s="26">
        <f t="shared" si="67"/>
        <v>0</v>
      </c>
      <c r="E160" s="250">
        <f t="shared" si="66"/>
        <v>0</v>
      </c>
      <c r="F160" s="250">
        <f t="shared" si="66"/>
        <v>0</v>
      </c>
      <c r="G160" s="250">
        <f t="shared" si="66"/>
        <v>0</v>
      </c>
      <c r="H160" s="997"/>
      <c r="I160" s="997"/>
      <c r="J160" s="976"/>
      <c r="K160" s="976"/>
      <c r="L160" s="976"/>
      <c r="M160" s="967"/>
      <c r="N160" s="975"/>
      <c r="O160" s="998"/>
      <c r="P160" s="979"/>
      <c r="Q160" s="982"/>
      <c r="R160" s="967"/>
      <c r="S160" s="967"/>
      <c r="T160" s="252">
        <f t="shared" si="70"/>
        <v>0</v>
      </c>
      <c r="U160" s="26"/>
      <c r="V160" s="26"/>
      <c r="W160" s="26"/>
      <c r="X160" s="262"/>
      <c r="Y160" s="262"/>
      <c r="Z160" s="262"/>
      <c r="AA160" s="262"/>
      <c r="AB160" s="262"/>
      <c r="AC160" s="262"/>
      <c r="AD160" s="252"/>
      <c r="AE160" s="320"/>
      <c r="AF160" s="320"/>
      <c r="AG160" s="320"/>
      <c r="AH160" s="692"/>
      <c r="AI160" s="692"/>
      <c r="AJ160" s="692"/>
      <c r="AK160" s="692"/>
      <c r="AL160" s="1013"/>
      <c r="AM160" s="1013"/>
      <c r="AN160" s="1013"/>
      <c r="AO160" s="1013"/>
    </row>
    <row r="161" spans="1:41" ht="31.5" customHeight="1" x14ac:dyDescent="0.25">
      <c r="A161" s="164"/>
      <c r="B161" s="108" t="s">
        <v>328</v>
      </c>
      <c r="C161" s="154" t="s">
        <v>50</v>
      </c>
      <c r="D161" s="26">
        <f t="shared" si="67"/>
        <v>256.2</v>
      </c>
      <c r="E161" s="250">
        <f t="shared" si="66"/>
        <v>0</v>
      </c>
      <c r="F161" s="250">
        <f t="shared" si="66"/>
        <v>0</v>
      </c>
      <c r="G161" s="250">
        <f t="shared" si="66"/>
        <v>256.2</v>
      </c>
      <c r="H161" s="999"/>
      <c r="I161" s="999"/>
      <c r="J161" s="1000"/>
      <c r="K161" s="986"/>
      <c r="L161" s="976">
        <f>M161+N161+O161</f>
        <v>256.2</v>
      </c>
      <c r="M161" s="967"/>
      <c r="N161" s="975"/>
      <c r="O161" s="998">
        <v>256.2</v>
      </c>
      <c r="P161" s="973"/>
      <c r="Q161" s="985"/>
      <c r="R161" s="968"/>
      <c r="S161" s="968"/>
      <c r="T161" s="185"/>
      <c r="U161" s="24"/>
      <c r="V161" s="24"/>
      <c r="W161" s="24"/>
      <c r="X161" s="243"/>
      <c r="Y161" s="243"/>
      <c r="Z161" s="243"/>
      <c r="AA161" s="243"/>
      <c r="AB161" s="243"/>
      <c r="AC161" s="243"/>
      <c r="AD161" s="185"/>
      <c r="AE161" s="16"/>
      <c r="AF161" s="16"/>
      <c r="AG161" s="16"/>
      <c r="AH161" s="422"/>
      <c r="AI161" s="422"/>
      <c r="AJ161" s="422"/>
      <c r="AK161" s="422"/>
      <c r="AL161" s="1013"/>
      <c r="AM161" s="1013"/>
      <c r="AN161" s="1013"/>
      <c r="AO161" s="1013"/>
    </row>
    <row r="162" spans="1:41" ht="25.15" customHeight="1" x14ac:dyDescent="0.25">
      <c r="A162" s="292"/>
      <c r="B162" s="108" t="s">
        <v>312</v>
      </c>
      <c r="C162" s="155" t="s">
        <v>298</v>
      </c>
      <c r="D162" s="26">
        <f t="shared" si="67"/>
        <v>0</v>
      </c>
      <c r="E162" s="250">
        <f t="shared" si="66"/>
        <v>0</v>
      </c>
      <c r="F162" s="250">
        <f t="shared" si="66"/>
        <v>0</v>
      </c>
      <c r="G162" s="250">
        <f t="shared" si="66"/>
        <v>0</v>
      </c>
      <c r="H162" s="997"/>
      <c r="I162" s="997"/>
      <c r="J162" s="976"/>
      <c r="K162" s="976"/>
      <c r="L162" s="976"/>
      <c r="M162" s="967"/>
      <c r="N162" s="975"/>
      <c r="O162" s="998"/>
      <c r="P162" s="979">
        <f>Q162+R162+S162</f>
        <v>0</v>
      </c>
      <c r="Q162" s="982"/>
      <c r="R162" s="967"/>
      <c r="S162" s="967"/>
      <c r="T162" s="252">
        <f>U162+V162+W162</f>
        <v>0</v>
      </c>
      <c r="U162" s="26"/>
      <c r="V162" s="26"/>
      <c r="W162" s="26"/>
      <c r="X162" s="262"/>
      <c r="Y162" s="262"/>
      <c r="Z162" s="262"/>
      <c r="AA162" s="262"/>
      <c r="AB162" s="262"/>
      <c r="AC162" s="262"/>
      <c r="AD162" s="252">
        <f>AE162+AF162+AG162</f>
        <v>0</v>
      </c>
      <c r="AE162" s="320"/>
      <c r="AF162" s="320"/>
      <c r="AG162" s="320"/>
      <c r="AH162" s="704">
        <f>AI162+AJ162+AK162</f>
        <v>0</v>
      </c>
      <c r="AI162" s="704"/>
      <c r="AJ162" s="704"/>
      <c r="AK162" s="704"/>
      <c r="AL162" s="1013"/>
      <c r="AM162" s="1013"/>
      <c r="AN162" s="1013"/>
      <c r="AO162" s="1013"/>
    </row>
    <row r="163" spans="1:41" ht="27.75" customHeight="1" x14ac:dyDescent="0.25">
      <c r="A163" s="292"/>
      <c r="B163" s="108" t="s">
        <v>37</v>
      </c>
      <c r="C163" s="155" t="s">
        <v>18</v>
      </c>
      <c r="D163" s="26">
        <f t="shared" si="67"/>
        <v>48.628999999999998</v>
      </c>
      <c r="E163" s="250">
        <f t="shared" si="66"/>
        <v>0</v>
      </c>
      <c r="F163" s="250">
        <f t="shared" si="66"/>
        <v>0</v>
      </c>
      <c r="G163" s="250">
        <f t="shared" si="66"/>
        <v>48.628999999999998</v>
      </c>
      <c r="H163" s="997"/>
      <c r="I163" s="997"/>
      <c r="J163" s="976"/>
      <c r="K163" s="976"/>
      <c r="L163" s="976"/>
      <c r="M163" s="967"/>
      <c r="N163" s="975"/>
      <c r="O163" s="998"/>
      <c r="P163" s="979">
        <f t="shared" ref="P163:P184" si="71">Q163+R163+S163</f>
        <v>48.628999999999998</v>
      </c>
      <c r="Q163" s="982"/>
      <c r="R163" s="967"/>
      <c r="S163" s="967">
        <v>48.628999999999998</v>
      </c>
      <c r="T163" s="252">
        <f t="shared" ref="T163:T181" si="72">U163+V163+W163</f>
        <v>0</v>
      </c>
      <c r="U163" s="26"/>
      <c r="V163" s="26"/>
      <c r="W163" s="26"/>
      <c r="X163" s="262"/>
      <c r="Y163" s="262"/>
      <c r="Z163" s="262"/>
      <c r="AA163" s="262"/>
      <c r="AB163" s="262"/>
      <c r="AC163" s="262"/>
      <c r="AD163" s="252">
        <f t="shared" ref="AD163:AD170" si="73">AE163+AF163+AG163</f>
        <v>0</v>
      </c>
      <c r="AE163" s="320"/>
      <c r="AF163" s="320"/>
      <c r="AG163" s="320"/>
      <c r="AH163" s="704">
        <f t="shared" ref="AH163:AH170" si="74">AI163+AJ163+AK163</f>
        <v>0</v>
      </c>
      <c r="AI163" s="704"/>
      <c r="AJ163" s="704"/>
      <c r="AK163" s="704"/>
      <c r="AL163" s="1013"/>
      <c r="AM163" s="1013"/>
      <c r="AN163" s="1013"/>
      <c r="AO163" s="1013"/>
    </row>
    <row r="164" spans="1:41" ht="17.45" customHeight="1" x14ac:dyDescent="0.25">
      <c r="A164" s="292"/>
      <c r="B164" s="108" t="s">
        <v>37</v>
      </c>
      <c r="C164" s="155" t="s">
        <v>70</v>
      </c>
      <c r="D164" s="250">
        <f t="shared" si="67"/>
        <v>68.194999999999993</v>
      </c>
      <c r="E164" s="250">
        <f t="shared" si="66"/>
        <v>0</v>
      </c>
      <c r="F164" s="250">
        <f t="shared" si="66"/>
        <v>0</v>
      </c>
      <c r="G164" s="250">
        <f t="shared" si="66"/>
        <v>68.194999999999993</v>
      </c>
      <c r="H164" s="997"/>
      <c r="I164" s="997"/>
      <c r="J164" s="976"/>
      <c r="K164" s="976"/>
      <c r="L164" s="976"/>
      <c r="M164" s="967"/>
      <c r="N164" s="975"/>
      <c r="O164" s="998"/>
      <c r="P164" s="979">
        <f t="shared" si="71"/>
        <v>68.194999999999993</v>
      </c>
      <c r="Q164" s="982"/>
      <c r="R164" s="967"/>
      <c r="S164" s="967">
        <v>68.194999999999993</v>
      </c>
      <c r="T164" s="252">
        <f t="shared" si="72"/>
        <v>0</v>
      </c>
      <c r="U164" s="26"/>
      <c r="V164" s="26"/>
      <c r="W164" s="26"/>
      <c r="X164" s="262"/>
      <c r="Y164" s="262"/>
      <c r="Z164" s="262"/>
      <c r="AA164" s="262"/>
      <c r="AB164" s="262"/>
      <c r="AC164" s="262"/>
      <c r="AD164" s="252">
        <f t="shared" si="73"/>
        <v>0</v>
      </c>
      <c r="AE164" s="320"/>
      <c r="AF164" s="320"/>
      <c r="AG164" s="320"/>
      <c r="AH164" s="704">
        <f t="shared" si="74"/>
        <v>0</v>
      </c>
      <c r="AI164" s="704"/>
      <c r="AJ164" s="704"/>
      <c r="AK164" s="704"/>
      <c r="AL164" s="1013"/>
      <c r="AM164" s="1013"/>
      <c r="AN164" s="1013"/>
      <c r="AO164" s="1013"/>
    </row>
    <row r="165" spans="1:41" ht="18.600000000000001" customHeight="1" x14ac:dyDescent="0.25">
      <c r="A165" s="292"/>
      <c r="B165" s="108" t="s">
        <v>37</v>
      </c>
      <c r="C165" s="155" t="s">
        <v>25</v>
      </c>
      <c r="D165" s="250">
        <f t="shared" si="67"/>
        <v>54.558999999999997</v>
      </c>
      <c r="E165" s="250">
        <f t="shared" si="66"/>
        <v>0</v>
      </c>
      <c r="F165" s="250">
        <f t="shared" si="66"/>
        <v>0</v>
      </c>
      <c r="G165" s="250">
        <f t="shared" si="66"/>
        <v>54.558999999999997</v>
      </c>
      <c r="H165" s="997"/>
      <c r="I165" s="997"/>
      <c r="J165" s="976"/>
      <c r="K165" s="976"/>
      <c r="L165" s="976"/>
      <c r="M165" s="967"/>
      <c r="N165" s="975"/>
      <c r="O165" s="998"/>
      <c r="P165" s="979">
        <f t="shared" si="71"/>
        <v>54.558999999999997</v>
      </c>
      <c r="Q165" s="982"/>
      <c r="R165" s="967"/>
      <c r="S165" s="967">
        <v>54.558999999999997</v>
      </c>
      <c r="T165" s="252">
        <f t="shared" si="72"/>
        <v>0</v>
      </c>
      <c r="U165" s="26"/>
      <c r="V165" s="26"/>
      <c r="W165" s="26"/>
      <c r="X165" s="262"/>
      <c r="Y165" s="262"/>
      <c r="Z165" s="262"/>
      <c r="AA165" s="262"/>
      <c r="AB165" s="262"/>
      <c r="AC165" s="262"/>
      <c r="AD165" s="252">
        <f t="shared" si="73"/>
        <v>0</v>
      </c>
      <c r="AE165" s="320"/>
      <c r="AF165" s="320"/>
      <c r="AG165" s="320"/>
      <c r="AH165" s="704">
        <f t="shared" si="74"/>
        <v>0</v>
      </c>
      <c r="AI165" s="704"/>
      <c r="AJ165" s="704"/>
      <c r="AK165" s="704"/>
      <c r="AL165" s="1013"/>
      <c r="AM165" s="1013"/>
      <c r="AN165" s="1013"/>
      <c r="AO165" s="1013"/>
    </row>
    <row r="166" spans="1:41" ht="59.25" customHeight="1" x14ac:dyDescent="0.25">
      <c r="A166" s="292"/>
      <c r="B166" s="465" t="s">
        <v>135</v>
      </c>
      <c r="C166" s="492" t="s">
        <v>619</v>
      </c>
      <c r="D166" s="250">
        <f t="shared" si="67"/>
        <v>879.25199999999995</v>
      </c>
      <c r="E166" s="250">
        <f t="shared" si="66"/>
        <v>0</v>
      </c>
      <c r="F166" s="250">
        <f t="shared" si="66"/>
        <v>0</v>
      </c>
      <c r="G166" s="250">
        <f t="shared" si="66"/>
        <v>879.25199999999995</v>
      </c>
      <c r="H166" s="997"/>
      <c r="I166" s="997"/>
      <c r="J166" s="976"/>
      <c r="K166" s="976"/>
      <c r="L166" s="976"/>
      <c r="M166" s="967"/>
      <c r="N166" s="975"/>
      <c r="O166" s="998"/>
      <c r="P166" s="979">
        <f t="shared" si="71"/>
        <v>86.745999999999995</v>
      </c>
      <c r="Q166" s="982"/>
      <c r="R166" s="967"/>
      <c r="S166" s="967">
        <v>86.745999999999995</v>
      </c>
      <c r="T166" s="252">
        <f t="shared" si="72"/>
        <v>792.50599999999997</v>
      </c>
      <c r="U166" s="26"/>
      <c r="V166" s="26"/>
      <c r="W166" s="26">
        <f>945.703-153.197</f>
        <v>792.50599999999997</v>
      </c>
      <c r="X166" s="262"/>
      <c r="Y166" s="262"/>
      <c r="Z166" s="262"/>
      <c r="AA166" s="262"/>
      <c r="AB166" s="262"/>
      <c r="AC166" s="262"/>
      <c r="AD166" s="252">
        <f t="shared" si="73"/>
        <v>0</v>
      </c>
      <c r="AE166" s="320"/>
      <c r="AF166" s="320"/>
      <c r="AG166" s="320"/>
      <c r="AH166" s="704">
        <f t="shared" si="74"/>
        <v>0</v>
      </c>
      <c r="AI166" s="704"/>
      <c r="AJ166" s="704"/>
      <c r="AK166" s="704"/>
      <c r="AL166" s="1013"/>
      <c r="AM166" s="1013"/>
      <c r="AN166" s="1013"/>
      <c r="AO166" s="1013"/>
    </row>
    <row r="167" spans="1:41" ht="47.25" customHeight="1" x14ac:dyDescent="0.25">
      <c r="A167" s="292"/>
      <c r="B167" s="465" t="s">
        <v>617</v>
      </c>
      <c r="C167" s="492" t="s">
        <v>618</v>
      </c>
      <c r="D167" s="250">
        <f t="shared" si="67"/>
        <v>1237.2460000000001</v>
      </c>
      <c r="E167" s="250">
        <f t="shared" si="66"/>
        <v>0</v>
      </c>
      <c r="F167" s="250">
        <f t="shared" si="66"/>
        <v>465</v>
      </c>
      <c r="G167" s="250">
        <f t="shared" si="66"/>
        <v>772.24599999999998</v>
      </c>
      <c r="H167" s="997"/>
      <c r="I167" s="997"/>
      <c r="J167" s="976"/>
      <c r="K167" s="976"/>
      <c r="L167" s="976"/>
      <c r="M167" s="967"/>
      <c r="N167" s="975"/>
      <c r="O167" s="998"/>
      <c r="P167" s="979">
        <f t="shared" si="71"/>
        <v>600</v>
      </c>
      <c r="Q167" s="982"/>
      <c r="R167" s="967">
        <v>465</v>
      </c>
      <c r="S167" s="967">
        <v>135</v>
      </c>
      <c r="T167" s="252">
        <f t="shared" si="72"/>
        <v>637.24599999999998</v>
      </c>
      <c r="U167" s="26"/>
      <c r="V167" s="26"/>
      <c r="W167" s="26">
        <v>637.24599999999998</v>
      </c>
      <c r="X167" s="262"/>
      <c r="Y167" s="262"/>
      <c r="Z167" s="262"/>
      <c r="AA167" s="262"/>
      <c r="AB167" s="262"/>
      <c r="AC167" s="262"/>
      <c r="AD167" s="252">
        <f t="shared" si="73"/>
        <v>0</v>
      </c>
      <c r="AE167" s="320"/>
      <c r="AF167" s="320"/>
      <c r="AG167" s="320"/>
      <c r="AH167" s="704">
        <f t="shared" si="74"/>
        <v>0</v>
      </c>
      <c r="AI167" s="704"/>
      <c r="AJ167" s="704"/>
      <c r="AK167" s="704"/>
      <c r="AL167" s="1013"/>
      <c r="AM167" s="1013"/>
      <c r="AN167" s="1013"/>
      <c r="AO167" s="1013"/>
    </row>
    <row r="168" spans="1:41" ht="19.149999999999999" customHeight="1" x14ac:dyDescent="0.25">
      <c r="A168" s="292"/>
      <c r="B168" s="108" t="s">
        <v>34</v>
      </c>
      <c r="C168" s="155" t="s">
        <v>25</v>
      </c>
      <c r="D168" s="250">
        <f t="shared" si="67"/>
        <v>144.73129</v>
      </c>
      <c r="E168" s="250">
        <f t="shared" si="66"/>
        <v>0</v>
      </c>
      <c r="F168" s="250">
        <f t="shared" si="66"/>
        <v>144.73129</v>
      </c>
      <c r="G168" s="250">
        <f t="shared" si="66"/>
        <v>0</v>
      </c>
      <c r="H168" s="997"/>
      <c r="I168" s="997"/>
      <c r="J168" s="976"/>
      <c r="K168" s="976"/>
      <c r="L168" s="976"/>
      <c r="M168" s="967"/>
      <c r="N168" s="975"/>
      <c r="O168" s="998"/>
      <c r="P168" s="979">
        <f t="shared" si="71"/>
        <v>144.73129</v>
      </c>
      <c r="Q168" s="982"/>
      <c r="R168" s="967">
        <v>144.73129</v>
      </c>
      <c r="S168" s="967"/>
      <c r="T168" s="252">
        <f t="shared" si="72"/>
        <v>0</v>
      </c>
      <c r="U168" s="26"/>
      <c r="V168" s="26"/>
      <c r="W168" s="26"/>
      <c r="X168" s="262"/>
      <c r="Y168" s="262"/>
      <c r="Z168" s="262"/>
      <c r="AA168" s="262"/>
      <c r="AB168" s="262"/>
      <c r="AC168" s="262"/>
      <c r="AD168" s="252">
        <f t="shared" si="73"/>
        <v>0</v>
      </c>
      <c r="AE168" s="320"/>
      <c r="AF168" s="320"/>
      <c r="AG168" s="320"/>
      <c r="AH168" s="704">
        <f t="shared" si="74"/>
        <v>0</v>
      </c>
      <c r="AI168" s="704"/>
      <c r="AJ168" s="704"/>
      <c r="AK168" s="704"/>
      <c r="AL168" s="1013"/>
      <c r="AM168" s="1013"/>
      <c r="AN168" s="1013"/>
      <c r="AO168" s="1013"/>
    </row>
    <row r="169" spans="1:41" ht="19.149999999999999" customHeight="1" x14ac:dyDescent="0.25">
      <c r="A169" s="292"/>
      <c r="B169" s="108" t="s">
        <v>316</v>
      </c>
      <c r="C169" s="155" t="s">
        <v>161</v>
      </c>
      <c r="D169" s="250">
        <f t="shared" si="67"/>
        <v>290</v>
      </c>
      <c r="E169" s="250">
        <f t="shared" si="66"/>
        <v>0</v>
      </c>
      <c r="F169" s="250">
        <f t="shared" si="66"/>
        <v>0</v>
      </c>
      <c r="G169" s="250">
        <f t="shared" si="66"/>
        <v>290</v>
      </c>
      <c r="H169" s="997"/>
      <c r="I169" s="997"/>
      <c r="J169" s="976"/>
      <c r="K169" s="976"/>
      <c r="L169" s="976"/>
      <c r="M169" s="967"/>
      <c r="N169" s="975"/>
      <c r="O169" s="998"/>
      <c r="P169" s="979"/>
      <c r="Q169" s="982"/>
      <c r="R169" s="967"/>
      <c r="S169" s="967"/>
      <c r="T169" s="284">
        <f t="shared" si="72"/>
        <v>290</v>
      </c>
      <c r="U169" s="26"/>
      <c r="V169" s="761"/>
      <c r="W169" s="26">
        <v>290</v>
      </c>
      <c r="X169" s="262"/>
      <c r="Y169" s="262"/>
      <c r="Z169" s="262"/>
      <c r="AA169" s="262"/>
      <c r="AB169" s="262"/>
      <c r="AC169" s="262"/>
      <c r="AD169" s="252">
        <f t="shared" si="73"/>
        <v>0</v>
      </c>
      <c r="AE169" s="320"/>
      <c r="AF169" s="320"/>
      <c r="AG169" s="320"/>
      <c r="AH169" s="704">
        <f t="shared" si="74"/>
        <v>0</v>
      </c>
      <c r="AI169" s="704"/>
      <c r="AJ169" s="704"/>
      <c r="AK169" s="704"/>
      <c r="AL169" s="1013"/>
      <c r="AM169" s="1013"/>
      <c r="AN169" s="1013"/>
      <c r="AO169" s="1013"/>
    </row>
    <row r="170" spans="1:41" ht="39" customHeight="1" x14ac:dyDescent="0.25">
      <c r="A170" s="292"/>
      <c r="B170" s="108" t="s">
        <v>608</v>
      </c>
      <c r="C170" s="155" t="s">
        <v>161</v>
      </c>
      <c r="D170" s="250">
        <f t="shared" si="67"/>
        <v>333.33499999999998</v>
      </c>
      <c r="E170" s="250">
        <f t="shared" si="66"/>
        <v>0</v>
      </c>
      <c r="F170" s="250">
        <f t="shared" si="66"/>
        <v>0</v>
      </c>
      <c r="G170" s="250">
        <f t="shared" si="66"/>
        <v>333.33499999999998</v>
      </c>
      <c r="H170" s="997"/>
      <c r="I170" s="997"/>
      <c r="J170" s="976"/>
      <c r="K170" s="976"/>
      <c r="L170" s="976"/>
      <c r="M170" s="967"/>
      <c r="N170" s="975"/>
      <c r="O170" s="998"/>
      <c r="P170" s="979"/>
      <c r="Q170" s="982"/>
      <c r="R170" s="967"/>
      <c r="S170" s="967"/>
      <c r="T170" s="252">
        <f t="shared" si="72"/>
        <v>333.33499999999998</v>
      </c>
      <c r="U170" s="26"/>
      <c r="V170" s="761"/>
      <c r="W170" s="26">
        <v>333.33499999999998</v>
      </c>
      <c r="X170" s="262"/>
      <c r="Y170" s="262"/>
      <c r="Z170" s="262"/>
      <c r="AA170" s="262"/>
      <c r="AB170" s="262"/>
      <c r="AC170" s="262"/>
      <c r="AD170" s="252">
        <f t="shared" si="73"/>
        <v>0</v>
      </c>
      <c r="AE170" s="320"/>
      <c r="AF170" s="320"/>
      <c r="AG170" s="320"/>
      <c r="AH170" s="704">
        <f t="shared" si="74"/>
        <v>0</v>
      </c>
      <c r="AI170" s="704"/>
      <c r="AJ170" s="704"/>
      <c r="AK170" s="704"/>
      <c r="AL170" s="1013"/>
      <c r="AM170" s="1013"/>
      <c r="AN170" s="1013"/>
      <c r="AO170" s="1013"/>
    </row>
    <row r="171" spans="1:41" ht="19.149999999999999" customHeight="1" x14ac:dyDescent="0.25">
      <c r="A171" s="292"/>
      <c r="B171" s="108" t="s">
        <v>587</v>
      </c>
      <c r="C171" s="155" t="s">
        <v>35</v>
      </c>
      <c r="D171" s="250">
        <f t="shared" si="67"/>
        <v>228.43520000000001</v>
      </c>
      <c r="E171" s="250">
        <f t="shared" si="66"/>
        <v>0</v>
      </c>
      <c r="F171" s="250">
        <f t="shared" si="66"/>
        <v>216.93520000000001</v>
      </c>
      <c r="G171" s="250">
        <f t="shared" si="66"/>
        <v>11.5</v>
      </c>
      <c r="H171" s="997"/>
      <c r="I171" s="997"/>
      <c r="J171" s="976"/>
      <c r="K171" s="976"/>
      <c r="L171" s="976"/>
      <c r="M171" s="967"/>
      <c r="N171" s="975"/>
      <c r="O171" s="998"/>
      <c r="P171" s="979"/>
      <c r="Q171" s="982"/>
      <c r="R171" s="967"/>
      <c r="S171" s="967"/>
      <c r="T171" s="252">
        <f t="shared" si="72"/>
        <v>228.43520000000001</v>
      </c>
      <c r="U171" s="26"/>
      <c r="V171" s="26">
        <v>216.93520000000001</v>
      </c>
      <c r="W171" s="26">
        <v>11.5</v>
      </c>
      <c r="X171" s="262"/>
      <c r="Y171" s="262"/>
      <c r="Z171" s="262"/>
      <c r="AA171" s="262"/>
      <c r="AB171" s="262"/>
      <c r="AC171" s="262"/>
      <c r="AD171" s="252"/>
      <c r="AE171" s="320"/>
      <c r="AF171" s="320"/>
      <c r="AG171" s="320"/>
      <c r="AH171" s="704"/>
      <c r="AI171" s="704"/>
      <c r="AJ171" s="704"/>
      <c r="AK171" s="704"/>
      <c r="AL171" s="1013"/>
      <c r="AM171" s="1013"/>
      <c r="AN171" s="1013"/>
      <c r="AO171" s="1013"/>
    </row>
    <row r="172" spans="1:41" ht="24" customHeight="1" x14ac:dyDescent="0.25">
      <c r="A172" s="292"/>
      <c r="B172" s="108" t="s">
        <v>590</v>
      </c>
      <c r="C172" s="155" t="s">
        <v>35</v>
      </c>
      <c r="D172" s="250">
        <f t="shared" si="67"/>
        <v>439.20210000000003</v>
      </c>
      <c r="E172" s="250">
        <f t="shared" si="66"/>
        <v>0</v>
      </c>
      <c r="F172" s="250">
        <f t="shared" si="66"/>
        <v>417.16500000000002</v>
      </c>
      <c r="G172" s="250">
        <f t="shared" si="66"/>
        <v>22.037099999999999</v>
      </c>
      <c r="H172" s="997"/>
      <c r="I172" s="997"/>
      <c r="J172" s="976"/>
      <c r="K172" s="976"/>
      <c r="L172" s="976"/>
      <c r="M172" s="967"/>
      <c r="N172" s="975"/>
      <c r="O172" s="998"/>
      <c r="P172" s="979"/>
      <c r="Q172" s="982"/>
      <c r="R172" s="967"/>
      <c r="S172" s="967"/>
      <c r="T172" s="252">
        <f t="shared" si="72"/>
        <v>439.20210000000003</v>
      </c>
      <c r="U172" s="26"/>
      <c r="V172" s="26">
        <v>417.16500000000002</v>
      </c>
      <c r="W172" s="26">
        <v>22.037099999999999</v>
      </c>
      <c r="X172" s="262"/>
      <c r="Y172" s="262"/>
      <c r="Z172" s="262"/>
      <c r="AA172" s="262"/>
      <c r="AB172" s="262"/>
      <c r="AC172" s="262"/>
      <c r="AD172" s="252"/>
      <c r="AE172" s="320"/>
      <c r="AF172" s="320"/>
      <c r="AG172" s="320"/>
      <c r="AH172" s="704"/>
      <c r="AI172" s="704"/>
      <c r="AJ172" s="704"/>
      <c r="AK172" s="704"/>
      <c r="AL172" s="1013"/>
      <c r="AM172" s="1013"/>
      <c r="AN172" s="1013"/>
      <c r="AO172" s="1013"/>
    </row>
    <row r="173" spans="1:41" ht="41.25" customHeight="1" x14ac:dyDescent="0.25">
      <c r="A173" s="292"/>
      <c r="B173" s="108" t="s">
        <v>656</v>
      </c>
      <c r="C173" s="155" t="s">
        <v>27</v>
      </c>
      <c r="D173" s="250">
        <f t="shared" si="67"/>
        <v>238</v>
      </c>
      <c r="E173" s="250">
        <f t="shared" si="66"/>
        <v>0</v>
      </c>
      <c r="F173" s="250">
        <f t="shared" si="66"/>
        <v>0</v>
      </c>
      <c r="G173" s="250">
        <f t="shared" si="66"/>
        <v>238</v>
      </c>
      <c r="H173" s="997"/>
      <c r="I173" s="997"/>
      <c r="J173" s="976"/>
      <c r="K173" s="976"/>
      <c r="L173" s="976"/>
      <c r="M173" s="967"/>
      <c r="N173" s="975"/>
      <c r="O173" s="998"/>
      <c r="P173" s="979"/>
      <c r="Q173" s="982"/>
      <c r="R173" s="967"/>
      <c r="S173" s="967"/>
      <c r="T173" s="252">
        <f t="shared" si="72"/>
        <v>238</v>
      </c>
      <c r="U173" s="26"/>
      <c r="V173" s="26"/>
      <c r="W173" s="26">
        <v>238</v>
      </c>
      <c r="X173" s="262"/>
      <c r="Y173" s="262"/>
      <c r="Z173" s="262"/>
      <c r="AA173" s="262"/>
      <c r="AB173" s="262"/>
      <c r="AC173" s="262"/>
      <c r="AD173" s="252"/>
      <c r="AE173" s="320"/>
      <c r="AF173" s="320"/>
      <c r="AG173" s="320"/>
      <c r="AH173" s="704"/>
      <c r="AI173" s="704"/>
      <c r="AJ173" s="704"/>
      <c r="AK173" s="704"/>
      <c r="AL173" s="1013"/>
      <c r="AM173" s="1013"/>
      <c r="AN173" s="1013"/>
      <c r="AO173" s="1013"/>
    </row>
    <row r="174" spans="1:41" ht="41.25" customHeight="1" x14ac:dyDescent="0.25">
      <c r="A174" s="292"/>
      <c r="B174" s="319" t="s">
        <v>620</v>
      </c>
      <c r="C174" s="492" t="s">
        <v>38</v>
      </c>
      <c r="D174" s="250">
        <f t="shared" si="67"/>
        <v>100</v>
      </c>
      <c r="E174" s="250">
        <f t="shared" si="66"/>
        <v>0</v>
      </c>
      <c r="F174" s="250">
        <f t="shared" si="66"/>
        <v>0</v>
      </c>
      <c r="G174" s="250">
        <f t="shared" si="66"/>
        <v>100</v>
      </c>
      <c r="H174" s="997"/>
      <c r="I174" s="997"/>
      <c r="J174" s="976"/>
      <c r="K174" s="976"/>
      <c r="L174" s="976"/>
      <c r="M174" s="967"/>
      <c r="N174" s="975"/>
      <c r="O174" s="998"/>
      <c r="P174" s="979"/>
      <c r="Q174" s="982"/>
      <c r="R174" s="967"/>
      <c r="S174" s="967"/>
      <c r="T174" s="252">
        <f t="shared" si="72"/>
        <v>100</v>
      </c>
      <c r="U174" s="26"/>
      <c r="V174" s="26"/>
      <c r="W174" s="26">
        <v>100</v>
      </c>
      <c r="X174" s="262"/>
      <c r="Y174" s="262"/>
      <c r="Z174" s="262"/>
      <c r="AA174" s="262"/>
      <c r="AB174" s="262"/>
      <c r="AC174" s="262"/>
      <c r="AD174" s="252"/>
      <c r="AE174" s="320"/>
      <c r="AF174" s="320"/>
      <c r="AG174" s="320"/>
      <c r="AH174" s="704"/>
      <c r="AI174" s="704"/>
      <c r="AJ174" s="704"/>
      <c r="AK174" s="704"/>
      <c r="AL174" s="1013"/>
      <c r="AM174" s="1013"/>
      <c r="AN174" s="1013"/>
      <c r="AO174" s="1013"/>
    </row>
    <row r="175" spans="1:41" ht="41.25" customHeight="1" x14ac:dyDescent="0.25">
      <c r="A175" s="292"/>
      <c r="B175" s="319" t="s">
        <v>621</v>
      </c>
      <c r="C175" s="492" t="s">
        <v>622</v>
      </c>
      <c r="D175" s="250">
        <f t="shared" si="67"/>
        <v>36.9</v>
      </c>
      <c r="E175" s="250">
        <f t="shared" si="66"/>
        <v>0</v>
      </c>
      <c r="F175" s="250">
        <f t="shared" si="66"/>
        <v>0</v>
      </c>
      <c r="G175" s="250">
        <f t="shared" si="66"/>
        <v>36.9</v>
      </c>
      <c r="H175" s="997"/>
      <c r="I175" s="997"/>
      <c r="J175" s="976"/>
      <c r="K175" s="976"/>
      <c r="L175" s="976"/>
      <c r="M175" s="967"/>
      <c r="N175" s="975"/>
      <c r="O175" s="998"/>
      <c r="P175" s="979"/>
      <c r="Q175" s="982"/>
      <c r="R175" s="967"/>
      <c r="S175" s="967"/>
      <c r="T175" s="252">
        <f t="shared" si="72"/>
        <v>36.9</v>
      </c>
      <c r="U175" s="26"/>
      <c r="V175" s="26"/>
      <c r="W175" s="26">
        <v>36.9</v>
      </c>
      <c r="X175" s="262"/>
      <c r="Y175" s="262"/>
      <c r="Z175" s="262"/>
      <c r="AA175" s="262"/>
      <c r="AB175" s="262"/>
      <c r="AC175" s="262"/>
      <c r="AD175" s="252"/>
      <c r="AE175" s="320"/>
      <c r="AF175" s="320"/>
      <c r="AG175" s="320"/>
      <c r="AH175" s="704"/>
      <c r="AI175" s="704"/>
      <c r="AJ175" s="704"/>
      <c r="AK175" s="704"/>
      <c r="AL175" s="1013"/>
      <c r="AM175" s="1013"/>
      <c r="AN175" s="1013"/>
      <c r="AO175" s="1013"/>
    </row>
    <row r="176" spans="1:41" ht="41.25" customHeight="1" thickBot="1" x14ac:dyDescent="0.3">
      <c r="A176" s="292"/>
      <c r="B176" s="880" t="s">
        <v>623</v>
      </c>
      <c r="C176" s="881" t="s">
        <v>27</v>
      </c>
      <c r="D176" s="250">
        <f t="shared" si="67"/>
        <v>302.64299999999997</v>
      </c>
      <c r="E176" s="250">
        <f t="shared" si="66"/>
        <v>0</v>
      </c>
      <c r="F176" s="250">
        <f t="shared" si="66"/>
        <v>0</v>
      </c>
      <c r="G176" s="250">
        <f t="shared" si="66"/>
        <v>302.64299999999997</v>
      </c>
      <c r="H176" s="997"/>
      <c r="I176" s="997"/>
      <c r="J176" s="976"/>
      <c r="K176" s="976"/>
      <c r="L176" s="976"/>
      <c r="M176" s="967"/>
      <c r="N176" s="975"/>
      <c r="O176" s="998"/>
      <c r="P176" s="979"/>
      <c r="Q176" s="982"/>
      <c r="R176" s="967"/>
      <c r="S176" s="967"/>
      <c r="T176" s="252">
        <f t="shared" si="72"/>
        <v>302.64299999999997</v>
      </c>
      <c r="U176" s="26"/>
      <c r="V176" s="26"/>
      <c r="W176" s="26">
        <v>302.64299999999997</v>
      </c>
      <c r="X176" s="262"/>
      <c r="Y176" s="262"/>
      <c r="Z176" s="262"/>
      <c r="AA176" s="262"/>
      <c r="AB176" s="262"/>
      <c r="AC176" s="262"/>
      <c r="AD176" s="252"/>
      <c r="AE176" s="320"/>
      <c r="AF176" s="320"/>
      <c r="AG176" s="320"/>
      <c r="AH176" s="704"/>
      <c r="AI176" s="704"/>
      <c r="AJ176" s="704"/>
      <c r="AK176" s="704"/>
      <c r="AL176" s="1013"/>
      <c r="AM176" s="1013"/>
      <c r="AN176" s="1013"/>
      <c r="AO176" s="1013"/>
    </row>
    <row r="177" spans="1:41" ht="41.25" customHeight="1" x14ac:dyDescent="0.25">
      <c r="A177" s="292"/>
      <c r="B177" s="884" t="s">
        <v>657</v>
      </c>
      <c r="C177" s="885" t="s">
        <v>631</v>
      </c>
      <c r="D177" s="250">
        <f t="shared" si="67"/>
        <v>238.1</v>
      </c>
      <c r="E177" s="250">
        <f t="shared" si="66"/>
        <v>0</v>
      </c>
      <c r="F177" s="250">
        <f t="shared" si="66"/>
        <v>0</v>
      </c>
      <c r="G177" s="250">
        <f t="shared" si="66"/>
        <v>238.1</v>
      </c>
      <c r="H177" s="997"/>
      <c r="I177" s="997"/>
      <c r="J177" s="976"/>
      <c r="K177" s="976"/>
      <c r="L177" s="976"/>
      <c r="M177" s="967"/>
      <c r="N177" s="975"/>
      <c r="O177" s="998"/>
      <c r="P177" s="979"/>
      <c r="Q177" s="982"/>
      <c r="R177" s="967"/>
      <c r="S177" s="967"/>
      <c r="T177" s="252">
        <f t="shared" si="72"/>
        <v>238.1</v>
      </c>
      <c r="U177" s="26"/>
      <c r="V177" s="26"/>
      <c r="W177" s="26">
        <v>238.1</v>
      </c>
      <c r="X177" s="262"/>
      <c r="Y177" s="262"/>
      <c r="Z177" s="262"/>
      <c r="AA177" s="262"/>
      <c r="AB177" s="262"/>
      <c r="AC177" s="262"/>
      <c r="AD177" s="252"/>
      <c r="AE177" s="320"/>
      <c r="AF177" s="320"/>
      <c r="AG177" s="320"/>
      <c r="AH177" s="704"/>
      <c r="AI177" s="704"/>
      <c r="AJ177" s="704"/>
      <c r="AK177" s="704"/>
      <c r="AL177" s="1013"/>
      <c r="AM177" s="1013"/>
      <c r="AN177" s="1013"/>
      <c r="AO177" s="1013"/>
    </row>
    <row r="178" spans="1:41" ht="41.25" customHeight="1" x14ac:dyDescent="0.25">
      <c r="A178" s="292"/>
      <c r="B178" s="884" t="s">
        <v>646</v>
      </c>
      <c r="C178" s="885" t="s">
        <v>72</v>
      </c>
      <c r="D178" s="250">
        <f t="shared" si="67"/>
        <v>113</v>
      </c>
      <c r="E178" s="250"/>
      <c r="F178" s="250"/>
      <c r="G178" s="250">
        <f t="shared" ref="G178:G181" si="75">K178+O178+S178+W178+AG178+AK178+AO178</f>
        <v>113</v>
      </c>
      <c r="H178" s="997"/>
      <c r="I178" s="997"/>
      <c r="J178" s="976"/>
      <c r="K178" s="976"/>
      <c r="L178" s="976"/>
      <c r="M178" s="967"/>
      <c r="N178" s="975"/>
      <c r="O178" s="998"/>
      <c r="P178" s="979"/>
      <c r="Q178" s="982"/>
      <c r="R178" s="967"/>
      <c r="S178" s="967"/>
      <c r="T178" s="252">
        <f t="shared" si="72"/>
        <v>0</v>
      </c>
      <c r="U178" s="26"/>
      <c r="V178" s="26"/>
      <c r="W178" s="26"/>
      <c r="X178" s="262"/>
      <c r="Y178" s="262"/>
      <c r="Z178" s="262"/>
      <c r="AA178" s="262"/>
      <c r="AB178" s="262"/>
      <c r="AC178" s="262"/>
      <c r="AD178" s="252">
        <f>AE178+AF178+AG178</f>
        <v>1079.5</v>
      </c>
      <c r="AE178" s="320"/>
      <c r="AF178" s="320">
        <v>1025.5</v>
      </c>
      <c r="AG178" s="693">
        <v>54</v>
      </c>
      <c r="AH178" s="252">
        <f>AI178+AJ178+AK178</f>
        <v>29.5</v>
      </c>
      <c r="AI178" s="693"/>
      <c r="AJ178" s="693"/>
      <c r="AK178" s="693">
        <v>29.5</v>
      </c>
      <c r="AL178" s="252">
        <f>AM178+AN178+AO178</f>
        <v>29.5</v>
      </c>
      <c r="AM178" s="721"/>
      <c r="AN178" s="721"/>
      <c r="AO178" s="693">
        <v>29.5</v>
      </c>
    </row>
    <row r="179" spans="1:41" ht="41.25" customHeight="1" x14ac:dyDescent="0.25">
      <c r="A179" s="292"/>
      <c r="B179" s="884" t="s">
        <v>659</v>
      </c>
      <c r="C179" s="885" t="s">
        <v>44</v>
      </c>
      <c r="D179" s="250">
        <f t="shared" si="67"/>
        <v>3000</v>
      </c>
      <c r="E179" s="250"/>
      <c r="F179" s="250"/>
      <c r="G179" s="250">
        <f t="shared" si="75"/>
        <v>3000</v>
      </c>
      <c r="H179" s="997"/>
      <c r="I179" s="997"/>
      <c r="J179" s="976"/>
      <c r="K179" s="976"/>
      <c r="L179" s="976"/>
      <c r="M179" s="967"/>
      <c r="N179" s="975"/>
      <c r="O179" s="998"/>
      <c r="P179" s="979"/>
      <c r="Q179" s="982"/>
      <c r="R179" s="967"/>
      <c r="S179" s="967"/>
      <c r="T179" s="252">
        <f t="shared" si="72"/>
        <v>3000</v>
      </c>
      <c r="U179" s="26"/>
      <c r="V179" s="26"/>
      <c r="W179" s="26">
        <v>3000</v>
      </c>
      <c r="X179" s="262"/>
      <c r="Y179" s="262"/>
      <c r="Z179" s="262"/>
      <c r="AA179" s="262"/>
      <c r="AB179" s="262"/>
      <c r="AC179" s="262"/>
      <c r="AD179" s="252"/>
      <c r="AE179" s="320"/>
      <c r="AF179" s="320"/>
      <c r="AG179" s="693"/>
      <c r="AH179" s="252"/>
      <c r="AI179" s="693"/>
      <c r="AJ179" s="693"/>
      <c r="AK179" s="693"/>
      <c r="AL179" s="252"/>
      <c r="AM179" s="721"/>
      <c r="AN179" s="721"/>
      <c r="AO179" s="693"/>
    </row>
    <row r="180" spans="1:41" ht="41.25" customHeight="1" x14ac:dyDescent="0.25">
      <c r="A180" s="292"/>
      <c r="B180" s="884" t="s">
        <v>292</v>
      </c>
      <c r="C180" s="885" t="s">
        <v>481</v>
      </c>
      <c r="D180" s="250">
        <f t="shared" si="67"/>
        <v>1645</v>
      </c>
      <c r="E180" s="250"/>
      <c r="F180" s="250"/>
      <c r="G180" s="250">
        <f t="shared" si="75"/>
        <v>1645</v>
      </c>
      <c r="H180" s="997"/>
      <c r="I180" s="997"/>
      <c r="J180" s="976"/>
      <c r="K180" s="976"/>
      <c r="L180" s="976"/>
      <c r="M180" s="967"/>
      <c r="N180" s="975"/>
      <c r="O180" s="998"/>
      <c r="P180" s="979"/>
      <c r="Q180" s="982"/>
      <c r="R180" s="967"/>
      <c r="S180" s="967"/>
      <c r="T180" s="252">
        <f t="shared" si="72"/>
        <v>1645</v>
      </c>
      <c r="U180" s="26"/>
      <c r="V180" s="26"/>
      <c r="W180" s="26">
        <v>1645</v>
      </c>
      <c r="X180" s="262"/>
      <c r="Y180" s="262"/>
      <c r="Z180" s="262"/>
      <c r="AA180" s="262"/>
      <c r="AB180" s="262"/>
      <c r="AC180" s="262"/>
      <c r="AD180" s="252"/>
      <c r="AE180" s="320"/>
      <c r="AF180" s="320"/>
      <c r="AG180" s="693"/>
      <c r="AH180" s="252"/>
      <c r="AI180" s="693"/>
      <c r="AJ180" s="693"/>
      <c r="AK180" s="693"/>
      <c r="AL180" s="252"/>
      <c r="AM180" s="721"/>
      <c r="AN180" s="721"/>
      <c r="AO180" s="693"/>
    </row>
    <row r="181" spans="1:41" ht="41.25" customHeight="1" x14ac:dyDescent="0.25">
      <c r="A181" s="292"/>
      <c r="B181" s="884" t="s">
        <v>660</v>
      </c>
      <c r="C181" s="885" t="s">
        <v>661</v>
      </c>
      <c r="D181" s="250">
        <f t="shared" si="67"/>
        <v>65</v>
      </c>
      <c r="E181" s="250"/>
      <c r="F181" s="250"/>
      <c r="G181" s="250">
        <f t="shared" si="75"/>
        <v>65</v>
      </c>
      <c r="H181" s="997"/>
      <c r="I181" s="997"/>
      <c r="J181" s="976"/>
      <c r="K181" s="976"/>
      <c r="L181" s="976"/>
      <c r="M181" s="967"/>
      <c r="N181" s="975"/>
      <c r="O181" s="998"/>
      <c r="P181" s="979"/>
      <c r="Q181" s="982"/>
      <c r="R181" s="967"/>
      <c r="S181" s="967"/>
      <c r="T181" s="252">
        <f t="shared" si="72"/>
        <v>65</v>
      </c>
      <c r="U181" s="26"/>
      <c r="V181" s="26"/>
      <c r="W181" s="26">
        <v>65</v>
      </c>
      <c r="X181" s="262"/>
      <c r="Y181" s="262"/>
      <c r="Z181" s="262"/>
      <c r="AA181" s="262"/>
      <c r="AB181" s="262"/>
      <c r="AC181" s="262"/>
      <c r="AD181" s="252"/>
      <c r="AE181" s="320"/>
      <c r="AF181" s="320"/>
      <c r="AG181" s="693"/>
      <c r="AH181" s="252"/>
      <c r="AI181" s="693"/>
      <c r="AJ181" s="693"/>
      <c r="AK181" s="693"/>
      <c r="AL181" s="252"/>
      <c r="AM181" s="721"/>
      <c r="AN181" s="721"/>
      <c r="AO181" s="693"/>
    </row>
    <row r="182" spans="1:41" ht="69" customHeight="1" x14ac:dyDescent="0.25">
      <c r="A182" s="377" t="s">
        <v>346</v>
      </c>
      <c r="B182" s="378" t="s">
        <v>347</v>
      </c>
      <c r="C182" s="327"/>
      <c r="D182" s="739">
        <f t="shared" si="67"/>
        <v>2716.6130499999999</v>
      </c>
      <c r="E182" s="739"/>
      <c r="F182" s="739"/>
      <c r="G182" s="739">
        <f>G183</f>
        <v>2716.6130499999999</v>
      </c>
      <c r="H182" s="997"/>
      <c r="I182" s="997"/>
      <c r="J182" s="976"/>
      <c r="K182" s="976"/>
      <c r="L182" s="976"/>
      <c r="M182" s="967"/>
      <c r="N182" s="975"/>
      <c r="O182" s="998"/>
      <c r="P182" s="1001">
        <f t="shared" si="71"/>
        <v>935.5</v>
      </c>
      <c r="Q182" s="980">
        <f t="shared" ref="Q182:R182" si="76">Q183</f>
        <v>0</v>
      </c>
      <c r="R182" s="980">
        <f t="shared" si="76"/>
        <v>0</v>
      </c>
      <c r="S182" s="980">
        <f>S183</f>
        <v>935.5</v>
      </c>
      <c r="T182" s="287">
        <f t="shared" ref="T182:T187" si="77">U182+V182+W182</f>
        <v>881.11305000000004</v>
      </c>
      <c r="U182" s="253">
        <f t="shared" ref="U182:V182" si="78">U183</f>
        <v>0</v>
      </c>
      <c r="V182" s="253">
        <f t="shared" si="78"/>
        <v>0</v>
      </c>
      <c r="W182" s="253">
        <f>W183</f>
        <v>881.11305000000004</v>
      </c>
      <c r="X182" s="443"/>
      <c r="Y182" s="443"/>
      <c r="Z182" s="443"/>
      <c r="AA182" s="443"/>
      <c r="AB182" s="443"/>
      <c r="AC182" s="443"/>
      <c r="AD182" s="287">
        <f t="shared" ref="AD182:AD186" si="79">AE182+AF182+AG182</f>
        <v>900</v>
      </c>
      <c r="AE182" s="253">
        <f t="shared" ref="AE182:AF182" si="80">AE183</f>
        <v>0</v>
      </c>
      <c r="AF182" s="253">
        <f t="shared" si="80"/>
        <v>0</v>
      </c>
      <c r="AG182" s="1103">
        <f>AG183</f>
        <v>900</v>
      </c>
      <c r="AH182" s="287">
        <f t="shared" ref="AH182:AH186" si="81">AI182+AJ182+AK182</f>
        <v>0</v>
      </c>
      <c r="AI182" s="253">
        <f t="shared" ref="AI182:AJ182" si="82">AI183</f>
        <v>0</v>
      </c>
      <c r="AJ182" s="253">
        <f t="shared" si="82"/>
        <v>0</v>
      </c>
      <c r="AK182" s="253">
        <f>AK183</f>
        <v>0</v>
      </c>
      <c r="AL182" s="1017">
        <f>AM182+AN182+AO182</f>
        <v>0</v>
      </c>
      <c r="AM182" s="1013"/>
      <c r="AN182" s="1013"/>
      <c r="AO182" s="253">
        <f>AO183</f>
        <v>0</v>
      </c>
    </row>
    <row r="183" spans="1:41" ht="75" customHeight="1" x14ac:dyDescent="0.25">
      <c r="A183" s="377"/>
      <c r="B183" s="379" t="s">
        <v>340</v>
      </c>
      <c r="C183" s="108" t="s">
        <v>58</v>
      </c>
      <c r="D183" s="250">
        <f t="shared" si="67"/>
        <v>2716.6130499999999</v>
      </c>
      <c r="E183" s="250">
        <f t="shared" ref="E183:F183" si="83">Q183+U183+AE183+AI183+AM183</f>
        <v>0</v>
      </c>
      <c r="F183" s="250">
        <f t="shared" si="83"/>
        <v>0</v>
      </c>
      <c r="G183" s="250">
        <f>S183+W183+AG183+AK183+AO183</f>
        <v>2716.6130499999999</v>
      </c>
      <c r="H183" s="997"/>
      <c r="I183" s="997"/>
      <c r="J183" s="976"/>
      <c r="K183" s="976"/>
      <c r="L183" s="976"/>
      <c r="M183" s="967"/>
      <c r="N183" s="975"/>
      <c r="O183" s="998"/>
      <c r="P183" s="979">
        <f t="shared" si="71"/>
        <v>935.5</v>
      </c>
      <c r="Q183" s="982"/>
      <c r="R183" s="967"/>
      <c r="S183" s="967">
        <v>935.5</v>
      </c>
      <c r="T183" s="287">
        <f t="shared" si="77"/>
        <v>881.11305000000004</v>
      </c>
      <c r="U183" s="26"/>
      <c r="V183" s="26"/>
      <c r="W183" s="26">
        <f>900-18.88695</f>
        <v>881.11305000000004</v>
      </c>
      <c r="X183" s="262"/>
      <c r="Y183" s="262"/>
      <c r="Z183" s="262"/>
      <c r="AA183" s="262"/>
      <c r="AB183" s="262"/>
      <c r="AC183" s="262"/>
      <c r="AD183" s="287">
        <f t="shared" si="79"/>
        <v>900</v>
      </c>
      <c r="AE183" s="320"/>
      <c r="AF183" s="320"/>
      <c r="AG183" s="693">
        <v>900</v>
      </c>
      <c r="AH183" s="287">
        <f t="shared" si="81"/>
        <v>0</v>
      </c>
      <c r="AI183" s="692"/>
      <c r="AJ183" s="692"/>
      <c r="AK183" s="692"/>
      <c r="AL183" s="1013">
        <f>AM183+AN183+AO183</f>
        <v>0</v>
      </c>
      <c r="AM183" s="1013"/>
      <c r="AN183" s="1013"/>
      <c r="AO183" s="1013"/>
    </row>
    <row r="184" spans="1:41" ht="91.5" customHeight="1" x14ac:dyDescent="0.25">
      <c r="A184" s="740" t="s">
        <v>193</v>
      </c>
      <c r="B184" s="741" t="s">
        <v>302</v>
      </c>
      <c r="C184" s="742"/>
      <c r="D184" s="738">
        <f t="shared" si="67"/>
        <v>8135.8</v>
      </c>
      <c r="E184" s="738">
        <f t="shared" ref="E184:F184" si="84">I184+M184+Q184+U184</f>
        <v>3108.4</v>
      </c>
      <c r="F184" s="738">
        <f t="shared" si="84"/>
        <v>4044.4</v>
      </c>
      <c r="G184" s="738">
        <f>K184+O184+S184+W184+AG184+AK184+AO184</f>
        <v>983</v>
      </c>
      <c r="H184" s="1002"/>
      <c r="I184" s="1002"/>
      <c r="J184" s="966"/>
      <c r="K184" s="966"/>
      <c r="L184" s="966">
        <f>M184+N184+O184</f>
        <v>1127.4000000000001</v>
      </c>
      <c r="M184" s="966">
        <f>M185+M186</f>
        <v>722.4</v>
      </c>
      <c r="N184" s="966">
        <f>N185+N186</f>
        <v>0</v>
      </c>
      <c r="O184" s="966">
        <f>O185+O186</f>
        <v>405</v>
      </c>
      <c r="P184" s="1003">
        <f t="shared" si="71"/>
        <v>2736</v>
      </c>
      <c r="Q184" s="966">
        <f>Q185+Q186</f>
        <v>2386</v>
      </c>
      <c r="R184" s="966">
        <f>R185+R186</f>
        <v>0</v>
      </c>
      <c r="S184" s="966">
        <f>S185+S186</f>
        <v>350</v>
      </c>
      <c r="T184" s="729">
        <f>U184+V184+W184</f>
        <v>4272.3999999999996</v>
      </c>
      <c r="U184" s="727">
        <f>U185+U186+U187</f>
        <v>0</v>
      </c>
      <c r="V184" s="727">
        <f t="shared" ref="V184:W184" si="85">V185+V186+V187</f>
        <v>4044.4</v>
      </c>
      <c r="W184" s="727">
        <f t="shared" si="85"/>
        <v>228</v>
      </c>
      <c r="X184" s="728"/>
      <c r="Y184" s="728"/>
      <c r="Z184" s="728"/>
      <c r="AA184" s="728"/>
      <c r="AB184" s="728"/>
      <c r="AC184" s="728"/>
      <c r="AD184" s="729">
        <f t="shared" si="79"/>
        <v>0</v>
      </c>
      <c r="AE184" s="727">
        <f t="shared" ref="AE184:AF184" si="86">AE185+AE186</f>
        <v>0</v>
      </c>
      <c r="AF184" s="727">
        <f t="shared" si="86"/>
        <v>0</v>
      </c>
      <c r="AG184" s="727">
        <f>AG185+AG186</f>
        <v>0</v>
      </c>
      <c r="AH184" s="729">
        <f t="shared" si="81"/>
        <v>0</v>
      </c>
      <c r="AI184" s="727">
        <f t="shared" ref="AI184:AJ184" si="87">AI185+AI186</f>
        <v>0</v>
      </c>
      <c r="AJ184" s="727">
        <f t="shared" si="87"/>
        <v>0</v>
      </c>
      <c r="AK184" s="727">
        <f>AK185+AK186</f>
        <v>0</v>
      </c>
      <c r="AL184" s="1015">
        <f>AM184+AN184+AO184</f>
        <v>0</v>
      </c>
      <c r="AM184" s="727">
        <f t="shared" ref="AM184:AN184" si="88">AM185+AM186</f>
        <v>0</v>
      </c>
      <c r="AN184" s="727">
        <f t="shared" si="88"/>
        <v>0</v>
      </c>
      <c r="AO184" s="727">
        <f>AO185+AO186</f>
        <v>0</v>
      </c>
    </row>
    <row r="185" spans="1:41" ht="24.75" x14ac:dyDescent="0.25">
      <c r="A185" s="234" t="s">
        <v>53</v>
      </c>
      <c r="B185" s="108" t="s">
        <v>165</v>
      </c>
      <c r="C185" s="108" t="s">
        <v>177</v>
      </c>
      <c r="D185" s="250">
        <f t="shared" si="67"/>
        <v>1127.4000000000001</v>
      </c>
      <c r="E185" s="73">
        <f t="shared" ref="E185:G200" si="89">I185+M185+Q185+U185+AE185+AI185+AM185</f>
        <v>722.4</v>
      </c>
      <c r="F185" s="73">
        <f t="shared" si="89"/>
        <v>0</v>
      </c>
      <c r="G185" s="73">
        <f>K185+O185+S185+W185+AG185+AK185+AO185</f>
        <v>405</v>
      </c>
      <c r="H185" s="967"/>
      <c r="I185" s="967"/>
      <c r="J185" s="967"/>
      <c r="K185" s="967"/>
      <c r="L185" s="967">
        <f>N185+O185+M185</f>
        <v>1127.4000000000001</v>
      </c>
      <c r="M185" s="967">
        <v>722.4</v>
      </c>
      <c r="N185" s="979"/>
      <c r="O185" s="975">
        <v>405</v>
      </c>
      <c r="P185" s="979"/>
      <c r="Q185" s="979"/>
      <c r="R185" s="967"/>
      <c r="S185" s="967"/>
      <c r="T185" s="252">
        <f t="shared" si="77"/>
        <v>0</v>
      </c>
      <c r="U185" s="26"/>
      <c r="V185" s="26"/>
      <c r="W185" s="26"/>
      <c r="X185" s="262"/>
      <c r="Y185" s="262"/>
      <c r="Z185" s="262"/>
      <c r="AA185" s="262"/>
      <c r="AB185" s="262"/>
      <c r="AC185" s="262"/>
      <c r="AD185" s="252">
        <f t="shared" si="79"/>
        <v>0</v>
      </c>
      <c r="AE185" s="320"/>
      <c r="AF185" s="320"/>
      <c r="AG185" s="320"/>
      <c r="AH185" s="252">
        <f t="shared" si="81"/>
        <v>0</v>
      </c>
      <c r="AI185" s="692"/>
      <c r="AJ185" s="692"/>
      <c r="AK185" s="1011"/>
      <c r="AL185" s="1013">
        <f t="shared" ref="AL185:AL186" si="90">AM185+AN185+AO185</f>
        <v>0</v>
      </c>
      <c r="AM185" s="1013"/>
      <c r="AN185" s="1013"/>
      <c r="AO185" s="1013"/>
    </row>
    <row r="186" spans="1:41" ht="29.25" customHeight="1" x14ac:dyDescent="0.25">
      <c r="A186" s="234" t="s">
        <v>289</v>
      </c>
      <c r="B186" s="108" t="s">
        <v>290</v>
      </c>
      <c r="C186" s="108" t="s">
        <v>371</v>
      </c>
      <c r="D186" s="250">
        <f>E186+F186+G186</f>
        <v>2736</v>
      </c>
      <c r="E186" s="73">
        <f t="shared" si="89"/>
        <v>2386</v>
      </c>
      <c r="F186" s="73">
        <f t="shared" si="89"/>
        <v>0</v>
      </c>
      <c r="G186" s="73">
        <f t="shared" si="89"/>
        <v>350</v>
      </c>
      <c r="H186" s="967"/>
      <c r="I186" s="967"/>
      <c r="J186" s="967"/>
      <c r="K186" s="967"/>
      <c r="L186" s="967"/>
      <c r="M186" s="967"/>
      <c r="N186" s="979"/>
      <c r="O186" s="975"/>
      <c r="P186" s="979">
        <f>Q186+R186+S186</f>
        <v>2736</v>
      </c>
      <c r="Q186" s="979">
        <v>2386</v>
      </c>
      <c r="R186" s="967"/>
      <c r="S186" s="967">
        <v>350</v>
      </c>
      <c r="T186" s="252">
        <f t="shared" si="77"/>
        <v>0</v>
      </c>
      <c r="U186" s="26"/>
      <c r="V186" s="26"/>
      <c r="W186" s="26"/>
      <c r="X186" s="262"/>
      <c r="Y186" s="262"/>
      <c r="Z186" s="262"/>
      <c r="AA186" s="262"/>
      <c r="AB186" s="262"/>
      <c r="AC186" s="262"/>
      <c r="AD186" s="252">
        <f t="shared" si="79"/>
        <v>0</v>
      </c>
      <c r="AE186" s="320"/>
      <c r="AF186" s="320"/>
      <c r="AG186" s="320"/>
      <c r="AH186" s="252">
        <f t="shared" si="81"/>
        <v>0</v>
      </c>
      <c r="AI186" s="692"/>
      <c r="AJ186" s="692"/>
      <c r="AK186" s="692"/>
      <c r="AL186" s="1013">
        <f t="shared" si="90"/>
        <v>0</v>
      </c>
      <c r="AM186" s="1013"/>
      <c r="AN186" s="1013"/>
      <c r="AO186" s="1013"/>
    </row>
    <row r="187" spans="1:41" ht="58.5" customHeight="1" x14ac:dyDescent="0.25">
      <c r="A187" s="877" t="s">
        <v>321</v>
      </c>
      <c r="B187" s="465" t="s">
        <v>606</v>
      </c>
      <c r="C187" s="108" t="s">
        <v>605</v>
      </c>
      <c r="D187" s="250">
        <f>E187+F187+G187</f>
        <v>4272.3999999999996</v>
      </c>
      <c r="E187" s="73">
        <f t="shared" si="89"/>
        <v>0</v>
      </c>
      <c r="F187" s="73">
        <f t="shared" si="89"/>
        <v>4044.4</v>
      </c>
      <c r="G187" s="73">
        <f t="shared" si="89"/>
        <v>228</v>
      </c>
      <c r="H187" s="967"/>
      <c r="I187" s="967"/>
      <c r="J187" s="967"/>
      <c r="K187" s="967"/>
      <c r="L187" s="967"/>
      <c r="M187" s="967"/>
      <c r="N187" s="979"/>
      <c r="O187" s="975"/>
      <c r="P187" s="979"/>
      <c r="Q187" s="979"/>
      <c r="R187" s="967"/>
      <c r="S187" s="967"/>
      <c r="T187" s="252">
        <f t="shared" si="77"/>
        <v>4272.3999999999996</v>
      </c>
      <c r="U187" s="26"/>
      <c r="V187" s="26">
        <f>3189.4+855</f>
        <v>4044.4</v>
      </c>
      <c r="W187" s="26">
        <f>183+45</f>
        <v>228</v>
      </c>
      <c r="X187" s="262"/>
      <c r="Y187" s="262"/>
      <c r="Z187" s="262"/>
      <c r="AA187" s="262"/>
      <c r="AB187" s="262"/>
      <c r="AC187" s="262"/>
      <c r="AD187" s="252"/>
      <c r="AE187" s="320"/>
      <c r="AF187" s="320"/>
      <c r="AG187" s="320"/>
      <c r="AH187" s="252"/>
      <c r="AI187" s="692"/>
      <c r="AJ187" s="692"/>
      <c r="AK187" s="692"/>
      <c r="AL187" s="1013">
        <f>AM187+AN187+AO187</f>
        <v>0</v>
      </c>
      <c r="AM187" s="1013"/>
      <c r="AN187" s="1013"/>
      <c r="AO187" s="1013"/>
    </row>
    <row r="188" spans="1:41" ht="26.45" customHeight="1" x14ac:dyDescent="0.25">
      <c r="A188" s="732" t="s">
        <v>194</v>
      </c>
      <c r="B188" s="733" t="s">
        <v>273</v>
      </c>
      <c r="C188" s="733"/>
      <c r="D188" s="738">
        <f t="shared" si="67"/>
        <v>220662.43384000001</v>
      </c>
      <c r="E188" s="738">
        <f t="shared" si="89"/>
        <v>0</v>
      </c>
      <c r="F188" s="738">
        <f t="shared" si="89"/>
        <v>201428.5</v>
      </c>
      <c r="G188" s="738">
        <f>K188+O188+S188+W188+AG188+AK188+AO188</f>
        <v>19233.933839999998</v>
      </c>
      <c r="H188" s="966">
        <f t="shared" ref="H188:W188" si="91">H189+H200+H201</f>
        <v>34113.1</v>
      </c>
      <c r="I188" s="966">
        <f t="shared" si="91"/>
        <v>0</v>
      </c>
      <c r="J188" s="966">
        <f t="shared" si="91"/>
        <v>28009.899999999998</v>
      </c>
      <c r="K188" s="966">
        <f t="shared" si="91"/>
        <v>6103.2</v>
      </c>
      <c r="L188" s="966">
        <f t="shared" si="91"/>
        <v>28638.899999999998</v>
      </c>
      <c r="M188" s="966">
        <f t="shared" si="91"/>
        <v>0</v>
      </c>
      <c r="N188" s="966">
        <f t="shared" si="91"/>
        <v>25839.1</v>
      </c>
      <c r="O188" s="966">
        <f t="shared" si="91"/>
        <v>2799.8</v>
      </c>
      <c r="P188" s="966">
        <f t="shared" si="91"/>
        <v>32124.843840000001</v>
      </c>
      <c r="Q188" s="966">
        <f t="shared" si="91"/>
        <v>0</v>
      </c>
      <c r="R188" s="966">
        <f t="shared" si="91"/>
        <v>29588.2</v>
      </c>
      <c r="S188" s="966">
        <f t="shared" si="91"/>
        <v>2536.6438399999997</v>
      </c>
      <c r="T188" s="727">
        <f t="shared" si="91"/>
        <v>32602.289999999997</v>
      </c>
      <c r="U188" s="727">
        <f t="shared" si="91"/>
        <v>0</v>
      </c>
      <c r="V188" s="1149">
        <f t="shared" si="91"/>
        <v>30797.8</v>
      </c>
      <c r="W188" s="1149">
        <f t="shared" si="91"/>
        <v>1804.49</v>
      </c>
      <c r="X188" s="728"/>
      <c r="Y188" s="728"/>
      <c r="Z188" s="728"/>
      <c r="AA188" s="728"/>
      <c r="AB188" s="728"/>
      <c r="AC188" s="728"/>
      <c r="AD188" s="729">
        <f>AE188+AF188+AG188</f>
        <v>31300.399999999998</v>
      </c>
      <c r="AE188" s="727">
        <f>AE189+AE200+AE201</f>
        <v>0</v>
      </c>
      <c r="AF188" s="727">
        <f>AF189+AF200+AF201</f>
        <v>29303.8</v>
      </c>
      <c r="AG188" s="727">
        <f>AG189+AG200+AG201</f>
        <v>1996.6</v>
      </c>
      <c r="AH188" s="729">
        <f>AI188+AJ188+AK188</f>
        <v>30988.299999999996</v>
      </c>
      <c r="AI188" s="727">
        <f>AI189+AI200+AI201</f>
        <v>0</v>
      </c>
      <c r="AJ188" s="727">
        <f>AJ189+AJ200+AJ201</f>
        <v>28991.699999999997</v>
      </c>
      <c r="AK188" s="727">
        <f>AK189+AK200+AK201</f>
        <v>1996.6</v>
      </c>
      <c r="AL188" s="1015">
        <f>AM188+AN188+AO188</f>
        <v>30894.6</v>
      </c>
      <c r="AM188" s="727">
        <f t="shared" ref="AM188:AN188" si="92">AM189+AM200+AM201</f>
        <v>0</v>
      </c>
      <c r="AN188" s="727">
        <f t="shared" si="92"/>
        <v>28898</v>
      </c>
      <c r="AO188" s="727">
        <f>AO189+AO200+AO201</f>
        <v>1996.6</v>
      </c>
    </row>
    <row r="189" spans="1:41" ht="50.45" customHeight="1" x14ac:dyDescent="0.25">
      <c r="A189" s="165" t="s">
        <v>234</v>
      </c>
      <c r="B189" s="161" t="s">
        <v>303</v>
      </c>
      <c r="C189" s="161"/>
      <c r="D189" s="739">
        <f t="shared" si="67"/>
        <v>4680.9969999999994</v>
      </c>
      <c r="E189" s="255">
        <f t="shared" si="89"/>
        <v>0</v>
      </c>
      <c r="F189" s="255">
        <f t="shared" si="89"/>
        <v>0</v>
      </c>
      <c r="G189" s="255">
        <f>K189+O189+S189+W189+AG189+AK189+AO189</f>
        <v>4680.9969999999994</v>
      </c>
      <c r="H189" s="980">
        <f>SUM(H191:H196)</f>
        <v>3508.2</v>
      </c>
      <c r="I189" s="980">
        <f>SUM(I191:I196)</f>
        <v>0</v>
      </c>
      <c r="J189" s="980">
        <f>SUM(J191:J196)</f>
        <v>0</v>
      </c>
      <c r="K189" s="980">
        <f>SUM(K191:K196)</f>
        <v>3508.2</v>
      </c>
      <c r="L189" s="980">
        <f>SUM(L190:L196)</f>
        <v>349.8</v>
      </c>
      <c r="M189" s="980">
        <f>SUM(M191:M196)</f>
        <v>0</v>
      </c>
      <c r="N189" s="980">
        <f>SUM(N190:N196)</f>
        <v>0</v>
      </c>
      <c r="O189" s="980">
        <f>SUM(O190:O196)</f>
        <v>349.8</v>
      </c>
      <c r="P189" s="980">
        <f>SUM(P191:P199)</f>
        <v>813.80700000000002</v>
      </c>
      <c r="Q189" s="980">
        <f>SUM(Q191:Q196)</f>
        <v>0</v>
      </c>
      <c r="R189" s="980">
        <f>SUM(R191:R196)</f>
        <v>0</v>
      </c>
      <c r="S189" s="980">
        <f>SUM(S191:S199)</f>
        <v>813.80700000000002</v>
      </c>
      <c r="T189" s="253">
        <f>U189+V189+W189</f>
        <v>9.19</v>
      </c>
      <c r="U189" s="253">
        <f t="shared" ref="U189:V189" si="93">SUM(U191:U199)</f>
        <v>0</v>
      </c>
      <c r="V189" s="253">
        <f t="shared" si="93"/>
        <v>0</v>
      </c>
      <c r="W189" s="253">
        <f>W190</f>
        <v>9.19</v>
      </c>
      <c r="X189" s="262"/>
      <c r="Y189" s="262"/>
      <c r="Z189" s="262"/>
      <c r="AA189" s="262"/>
      <c r="AB189" s="262"/>
      <c r="AC189" s="262"/>
      <c r="AD189" s="287">
        <f>AE189+AF189+AG189</f>
        <v>0</v>
      </c>
      <c r="AE189" s="253">
        <f t="shared" ref="AE189:AF189" si="94">SUM(AE191:AE199)</f>
        <v>0</v>
      </c>
      <c r="AF189" s="253">
        <f t="shared" si="94"/>
        <v>0</v>
      </c>
      <c r="AG189" s="253">
        <f>SUM(AG191:AG199)</f>
        <v>0</v>
      </c>
      <c r="AH189" s="287">
        <f>AI189+AJ189+AK189</f>
        <v>0</v>
      </c>
      <c r="AI189" s="253">
        <f t="shared" ref="AI189:AJ189" si="95">SUM(AI191:AI199)</f>
        <v>0</v>
      </c>
      <c r="AJ189" s="253">
        <f t="shared" si="95"/>
        <v>0</v>
      </c>
      <c r="AK189" s="253">
        <f>SUM(AK191:AK199)</f>
        <v>0</v>
      </c>
      <c r="AL189" s="1013">
        <f t="shared" ref="AL189:AL200" si="96">AM189+AN189+AO189</f>
        <v>0</v>
      </c>
      <c r="AM189" s="1013"/>
      <c r="AN189" s="1013"/>
      <c r="AO189" s="1013"/>
    </row>
    <row r="190" spans="1:41" ht="24.75" x14ac:dyDescent="0.25">
      <c r="A190" s="165"/>
      <c r="B190" s="108" t="s">
        <v>332</v>
      </c>
      <c r="C190" s="108" t="s">
        <v>33</v>
      </c>
      <c r="D190" s="26">
        <f t="shared" si="67"/>
        <v>36.39</v>
      </c>
      <c r="E190" s="73">
        <f t="shared" si="89"/>
        <v>0</v>
      </c>
      <c r="F190" s="73">
        <f t="shared" si="89"/>
        <v>0</v>
      </c>
      <c r="G190" s="73">
        <f>K190+O190+S190+W190+AG190+AK190+AO190</f>
        <v>36.39</v>
      </c>
      <c r="H190" s="967"/>
      <c r="I190" s="967"/>
      <c r="J190" s="967"/>
      <c r="K190" s="967"/>
      <c r="L190" s="967">
        <f>M190+N190+O190</f>
        <v>27.2</v>
      </c>
      <c r="M190" s="967"/>
      <c r="N190" s="967"/>
      <c r="O190" s="967">
        <v>27.2</v>
      </c>
      <c r="P190" s="980"/>
      <c r="Q190" s="980"/>
      <c r="R190" s="980"/>
      <c r="S190" s="980"/>
      <c r="T190" s="26">
        <f>U190+V190+W190</f>
        <v>9.19</v>
      </c>
      <c r="U190" s="253"/>
      <c r="V190" s="253"/>
      <c r="W190" s="26">
        <v>9.19</v>
      </c>
      <c r="X190" s="262"/>
      <c r="Y190" s="262"/>
      <c r="Z190" s="262"/>
      <c r="AA190" s="262"/>
      <c r="AB190" s="262"/>
      <c r="AC190" s="262"/>
      <c r="AD190" s="287"/>
      <c r="AE190" s="253"/>
      <c r="AF190" s="253"/>
      <c r="AG190" s="253"/>
      <c r="AH190" s="692"/>
      <c r="AI190" s="692"/>
      <c r="AJ190" s="692"/>
      <c r="AK190" s="692"/>
      <c r="AL190" s="1013">
        <f t="shared" si="96"/>
        <v>0</v>
      </c>
      <c r="AM190" s="1013"/>
      <c r="AN190" s="1013"/>
      <c r="AO190" s="1013"/>
    </row>
    <row r="191" spans="1:41" ht="24.75" x14ac:dyDescent="0.25">
      <c r="A191" s="289"/>
      <c r="B191" s="108" t="s">
        <v>74</v>
      </c>
      <c r="C191" s="108" t="s">
        <v>35</v>
      </c>
      <c r="D191" s="26">
        <f t="shared" si="67"/>
        <v>3508.2</v>
      </c>
      <c r="E191" s="73">
        <f t="shared" si="89"/>
        <v>0</v>
      </c>
      <c r="F191" s="73">
        <f t="shared" si="89"/>
        <v>0</v>
      </c>
      <c r="G191" s="73">
        <f t="shared" si="89"/>
        <v>3508.2</v>
      </c>
      <c r="H191" s="967">
        <f>I191+J191+K191</f>
        <v>3508.2</v>
      </c>
      <c r="I191" s="967"/>
      <c r="J191" s="967"/>
      <c r="K191" s="967">
        <v>3508.2</v>
      </c>
      <c r="L191" s="967"/>
      <c r="M191" s="967"/>
      <c r="N191" s="979"/>
      <c r="O191" s="979"/>
      <c r="P191" s="982"/>
      <c r="Q191" s="982"/>
      <c r="R191" s="980"/>
      <c r="S191" s="980"/>
      <c r="T191" s="26"/>
      <c r="U191" s="26"/>
      <c r="V191" s="253"/>
      <c r="W191" s="253"/>
      <c r="X191" s="262"/>
      <c r="Y191" s="262"/>
      <c r="Z191" s="262"/>
      <c r="AA191" s="262"/>
      <c r="AB191" s="262"/>
      <c r="AC191" s="262"/>
      <c r="AD191" s="320"/>
      <c r="AE191" s="320"/>
      <c r="AF191" s="320"/>
      <c r="AG191" s="320"/>
      <c r="AH191" s="692"/>
      <c r="AI191" s="692"/>
      <c r="AJ191" s="692"/>
      <c r="AK191" s="692"/>
      <c r="AL191" s="1013">
        <f t="shared" si="96"/>
        <v>0</v>
      </c>
      <c r="AM191" s="1013"/>
      <c r="AN191" s="1013"/>
      <c r="AO191" s="1013"/>
    </row>
    <row r="192" spans="1:41" ht="27.6" customHeight="1" x14ac:dyDescent="0.25">
      <c r="A192" s="289"/>
      <c r="B192" s="108" t="s">
        <v>297</v>
      </c>
      <c r="C192" s="108" t="s">
        <v>26</v>
      </c>
      <c r="D192" s="26">
        <f t="shared" si="67"/>
        <v>0</v>
      </c>
      <c r="E192" s="73">
        <f t="shared" si="89"/>
        <v>0</v>
      </c>
      <c r="F192" s="73">
        <f t="shared" si="89"/>
        <v>0</v>
      </c>
      <c r="G192" s="73">
        <f t="shared" si="89"/>
        <v>0</v>
      </c>
      <c r="H192" s="967"/>
      <c r="I192" s="967"/>
      <c r="J192" s="967"/>
      <c r="K192" s="967"/>
      <c r="L192" s="967"/>
      <c r="M192" s="967"/>
      <c r="N192" s="979"/>
      <c r="O192" s="979"/>
      <c r="P192" s="975">
        <f>Q192+R192+S192</f>
        <v>0</v>
      </c>
      <c r="Q192" s="975"/>
      <c r="R192" s="967"/>
      <c r="S192" s="967"/>
      <c r="T192" s="26"/>
      <c r="U192" s="26"/>
      <c r="V192" s="26"/>
      <c r="W192" s="26"/>
      <c r="X192" s="262"/>
      <c r="Y192" s="262"/>
      <c r="Z192" s="262"/>
      <c r="AA192" s="262"/>
      <c r="AB192" s="262"/>
      <c r="AC192" s="262"/>
      <c r="AD192" s="26">
        <f>AE192+AF192+AG192</f>
        <v>0</v>
      </c>
      <c r="AE192" s="320"/>
      <c r="AF192" s="320"/>
      <c r="AG192" s="320"/>
      <c r="AH192" s="692"/>
      <c r="AI192" s="692"/>
      <c r="AJ192" s="692"/>
      <c r="AK192" s="692"/>
      <c r="AL192" s="1013">
        <f t="shared" si="96"/>
        <v>0</v>
      </c>
      <c r="AM192" s="1013"/>
      <c r="AN192" s="1013"/>
      <c r="AO192" s="1013"/>
    </row>
    <row r="193" spans="1:42" ht="25.9" customHeight="1" x14ac:dyDescent="0.25">
      <c r="A193" s="289"/>
      <c r="B193" s="108" t="s">
        <v>168</v>
      </c>
      <c r="C193" s="108" t="s">
        <v>79</v>
      </c>
      <c r="D193" s="26">
        <f t="shared" si="67"/>
        <v>60</v>
      </c>
      <c r="E193" s="73">
        <f t="shared" si="89"/>
        <v>0</v>
      </c>
      <c r="F193" s="73">
        <f t="shared" si="89"/>
        <v>0</v>
      </c>
      <c r="G193" s="73">
        <f t="shared" si="89"/>
        <v>60</v>
      </c>
      <c r="H193" s="967"/>
      <c r="I193" s="967"/>
      <c r="J193" s="967"/>
      <c r="K193" s="967"/>
      <c r="L193" s="967">
        <f t="shared" ref="L193:L201" si="97">M193+N193+O193</f>
        <v>60</v>
      </c>
      <c r="M193" s="967"/>
      <c r="N193" s="979"/>
      <c r="O193" s="975">
        <v>60</v>
      </c>
      <c r="P193" s="982"/>
      <c r="Q193" s="982"/>
      <c r="R193" s="967"/>
      <c r="S193" s="967"/>
      <c r="T193" s="26"/>
      <c r="U193" s="26"/>
      <c r="V193" s="26"/>
      <c r="W193" s="26"/>
      <c r="X193" s="262"/>
      <c r="Y193" s="262"/>
      <c r="Z193" s="262"/>
      <c r="AA193" s="262"/>
      <c r="AB193" s="262"/>
      <c r="AC193" s="262"/>
      <c r="AD193" s="320"/>
      <c r="AE193" s="320"/>
      <c r="AF193" s="320"/>
      <c r="AG193" s="320"/>
      <c r="AH193" s="692"/>
      <c r="AI193" s="692"/>
      <c r="AJ193" s="692"/>
      <c r="AK193" s="692"/>
      <c r="AL193" s="1013">
        <f t="shared" si="96"/>
        <v>0</v>
      </c>
      <c r="AM193" s="1013"/>
      <c r="AN193" s="1013"/>
      <c r="AO193" s="1013"/>
    </row>
    <row r="194" spans="1:42" ht="15" x14ac:dyDescent="0.25">
      <c r="A194" s="289"/>
      <c r="B194" s="108" t="s">
        <v>172</v>
      </c>
      <c r="C194" s="108" t="s">
        <v>108</v>
      </c>
      <c r="D194" s="26">
        <f t="shared" si="67"/>
        <v>52.6</v>
      </c>
      <c r="E194" s="73">
        <f t="shared" si="89"/>
        <v>0</v>
      </c>
      <c r="F194" s="73">
        <f t="shared" si="89"/>
        <v>0</v>
      </c>
      <c r="G194" s="73">
        <f t="shared" si="89"/>
        <v>52.6</v>
      </c>
      <c r="H194" s="967"/>
      <c r="I194" s="967"/>
      <c r="J194" s="967"/>
      <c r="K194" s="967"/>
      <c r="L194" s="967">
        <f t="shared" si="97"/>
        <v>52.6</v>
      </c>
      <c r="M194" s="967"/>
      <c r="N194" s="979"/>
      <c r="O194" s="975">
        <v>52.6</v>
      </c>
      <c r="P194" s="982"/>
      <c r="Q194" s="982"/>
      <c r="R194" s="967"/>
      <c r="S194" s="967"/>
      <c r="T194" s="26"/>
      <c r="U194" s="26"/>
      <c r="V194" s="26"/>
      <c r="W194" s="26"/>
      <c r="X194" s="262"/>
      <c r="Y194" s="262"/>
      <c r="Z194" s="262"/>
      <c r="AA194" s="262"/>
      <c r="AB194" s="262"/>
      <c r="AC194" s="262"/>
      <c r="AD194" s="320"/>
      <c r="AE194" s="320"/>
      <c r="AF194" s="320"/>
      <c r="AG194" s="320"/>
      <c r="AH194" s="692"/>
      <c r="AI194" s="692"/>
      <c r="AJ194" s="692"/>
      <c r="AK194" s="692"/>
      <c r="AL194" s="1013">
        <f t="shared" si="96"/>
        <v>0</v>
      </c>
      <c r="AM194" s="1013"/>
      <c r="AN194" s="1013"/>
      <c r="AO194" s="1013"/>
    </row>
    <row r="195" spans="1:42" ht="24.75" x14ac:dyDescent="0.25">
      <c r="A195" s="289"/>
      <c r="B195" s="108" t="s">
        <v>172</v>
      </c>
      <c r="C195" s="108" t="s">
        <v>288</v>
      </c>
      <c r="D195" s="26">
        <f t="shared" si="67"/>
        <v>80</v>
      </c>
      <c r="E195" s="73">
        <f t="shared" si="89"/>
        <v>0</v>
      </c>
      <c r="F195" s="73">
        <f t="shared" si="89"/>
        <v>0</v>
      </c>
      <c r="G195" s="73">
        <f t="shared" si="89"/>
        <v>80</v>
      </c>
      <c r="H195" s="967"/>
      <c r="I195" s="967"/>
      <c r="J195" s="967"/>
      <c r="K195" s="967"/>
      <c r="L195" s="967">
        <f t="shared" si="97"/>
        <v>80</v>
      </c>
      <c r="M195" s="967"/>
      <c r="N195" s="979"/>
      <c r="O195" s="975">
        <v>80</v>
      </c>
      <c r="P195" s="982"/>
      <c r="Q195" s="982"/>
      <c r="R195" s="967"/>
      <c r="S195" s="967"/>
      <c r="T195" s="26"/>
      <c r="U195" s="26"/>
      <c r="V195" s="26"/>
      <c r="W195" s="26"/>
      <c r="X195" s="262"/>
      <c r="Y195" s="262"/>
      <c r="Z195" s="262"/>
      <c r="AA195" s="262"/>
      <c r="AB195" s="262"/>
      <c r="AC195" s="262"/>
      <c r="AD195" s="320"/>
      <c r="AE195" s="320"/>
      <c r="AF195" s="320"/>
      <c r="AG195" s="320"/>
      <c r="AH195" s="692"/>
      <c r="AI195" s="692"/>
      <c r="AJ195" s="692"/>
      <c r="AK195" s="692"/>
      <c r="AL195" s="1013">
        <f t="shared" si="96"/>
        <v>0</v>
      </c>
      <c r="AM195" s="1013"/>
      <c r="AN195" s="1013"/>
      <c r="AO195" s="1013"/>
    </row>
    <row r="196" spans="1:42" ht="14.45" customHeight="1" x14ac:dyDescent="0.25">
      <c r="A196" s="289"/>
      <c r="B196" s="108" t="s">
        <v>171</v>
      </c>
      <c r="C196" s="108" t="s">
        <v>162</v>
      </c>
      <c r="D196" s="26">
        <f t="shared" si="67"/>
        <v>130</v>
      </c>
      <c r="E196" s="73">
        <f t="shared" si="89"/>
        <v>0</v>
      </c>
      <c r="F196" s="73">
        <f t="shared" si="89"/>
        <v>0</v>
      </c>
      <c r="G196" s="73">
        <f t="shared" si="89"/>
        <v>130</v>
      </c>
      <c r="H196" s="967"/>
      <c r="I196" s="967"/>
      <c r="J196" s="967"/>
      <c r="K196" s="967"/>
      <c r="L196" s="967">
        <f t="shared" si="97"/>
        <v>130</v>
      </c>
      <c r="M196" s="967"/>
      <c r="N196" s="979"/>
      <c r="O196" s="975">
        <v>130</v>
      </c>
      <c r="P196" s="982"/>
      <c r="Q196" s="982"/>
      <c r="R196" s="967"/>
      <c r="S196" s="967"/>
      <c r="T196" s="26"/>
      <c r="U196" s="26"/>
      <c r="V196" s="26"/>
      <c r="W196" s="26"/>
      <c r="X196" s="262"/>
      <c r="Y196" s="262"/>
      <c r="Z196" s="262"/>
      <c r="AA196" s="262"/>
      <c r="AB196" s="262"/>
      <c r="AC196" s="262"/>
      <c r="AD196" s="320"/>
      <c r="AE196" s="320"/>
      <c r="AF196" s="320"/>
      <c r="AG196" s="320"/>
      <c r="AH196" s="692"/>
      <c r="AI196" s="692"/>
      <c r="AJ196" s="692"/>
      <c r="AK196" s="692"/>
      <c r="AL196" s="1013">
        <f t="shared" si="96"/>
        <v>0</v>
      </c>
      <c r="AM196" s="1013"/>
      <c r="AN196" s="1013"/>
      <c r="AO196" s="1013"/>
    </row>
    <row r="197" spans="1:42" ht="15" x14ac:dyDescent="0.25">
      <c r="A197" s="289"/>
      <c r="B197" s="108" t="s">
        <v>336</v>
      </c>
      <c r="C197" s="108" t="s">
        <v>23</v>
      </c>
      <c r="D197" s="26">
        <f t="shared" si="67"/>
        <v>120</v>
      </c>
      <c r="E197" s="73">
        <f t="shared" si="89"/>
        <v>0</v>
      </c>
      <c r="F197" s="73">
        <f t="shared" si="89"/>
        <v>0</v>
      </c>
      <c r="G197" s="73">
        <f t="shared" si="89"/>
        <v>120</v>
      </c>
      <c r="H197" s="967">
        <f>I197+J197+K197</f>
        <v>0</v>
      </c>
      <c r="I197" s="967"/>
      <c r="J197" s="967"/>
      <c r="K197" s="967"/>
      <c r="L197" s="967"/>
      <c r="M197" s="967"/>
      <c r="N197" s="979"/>
      <c r="O197" s="975"/>
      <c r="P197" s="982">
        <f>Q197+R197+S197</f>
        <v>120</v>
      </c>
      <c r="Q197" s="982"/>
      <c r="R197" s="967"/>
      <c r="S197" s="967">
        <v>120</v>
      </c>
      <c r="T197" s="26"/>
      <c r="U197" s="26"/>
      <c r="V197" s="26"/>
      <c r="W197" s="26"/>
      <c r="X197" s="262"/>
      <c r="Y197" s="262"/>
      <c r="Z197" s="262"/>
      <c r="AA197" s="262"/>
      <c r="AB197" s="262"/>
      <c r="AC197" s="262"/>
      <c r="AD197" s="320"/>
      <c r="AE197" s="320"/>
      <c r="AF197" s="320"/>
      <c r="AG197" s="320"/>
      <c r="AH197" s="692"/>
      <c r="AI197" s="692"/>
      <c r="AJ197" s="692"/>
      <c r="AK197" s="692"/>
      <c r="AL197" s="1013">
        <f t="shared" si="96"/>
        <v>0</v>
      </c>
      <c r="AM197" s="1013"/>
      <c r="AN197" s="1013"/>
      <c r="AO197" s="1013"/>
    </row>
    <row r="198" spans="1:42" ht="36.75" x14ac:dyDescent="0.25">
      <c r="A198" s="289"/>
      <c r="B198" s="108" t="s">
        <v>351</v>
      </c>
      <c r="C198" s="108" t="s">
        <v>345</v>
      </c>
      <c r="D198" s="26">
        <f t="shared" si="67"/>
        <v>676.90700000000004</v>
      </c>
      <c r="E198" s="73">
        <f t="shared" si="89"/>
        <v>0</v>
      </c>
      <c r="F198" s="73">
        <f t="shared" si="89"/>
        <v>0</v>
      </c>
      <c r="G198" s="73">
        <f t="shared" si="89"/>
        <v>676.90700000000004</v>
      </c>
      <c r="H198" s="967"/>
      <c r="I198" s="967"/>
      <c r="J198" s="967"/>
      <c r="K198" s="967"/>
      <c r="L198" s="967"/>
      <c r="M198" s="967"/>
      <c r="N198" s="979"/>
      <c r="O198" s="975"/>
      <c r="P198" s="982">
        <f>Q198+R198+S198</f>
        <v>676.90700000000004</v>
      </c>
      <c r="Q198" s="982"/>
      <c r="R198" s="967"/>
      <c r="S198" s="967">
        <v>676.90700000000004</v>
      </c>
      <c r="T198" s="26"/>
      <c r="U198" s="26"/>
      <c r="V198" s="26"/>
      <c r="W198" s="26"/>
      <c r="X198" s="262"/>
      <c r="Y198" s="262"/>
      <c r="Z198" s="262"/>
      <c r="AA198" s="262"/>
      <c r="AB198" s="262"/>
      <c r="AC198" s="262"/>
      <c r="AD198" s="320"/>
      <c r="AE198" s="320"/>
      <c r="AF198" s="320"/>
      <c r="AG198" s="320"/>
      <c r="AH198" s="692"/>
      <c r="AI198" s="705"/>
      <c r="AJ198" s="705"/>
      <c r="AK198" s="705"/>
      <c r="AL198" s="1013">
        <f t="shared" si="96"/>
        <v>0</v>
      </c>
      <c r="AM198" s="1013"/>
      <c r="AN198" s="1013"/>
      <c r="AO198" s="1013"/>
    </row>
    <row r="199" spans="1:42" ht="49.15" customHeight="1" x14ac:dyDescent="0.25">
      <c r="A199" s="289"/>
      <c r="B199" s="108" t="s">
        <v>171</v>
      </c>
      <c r="C199" s="108" t="s">
        <v>20</v>
      </c>
      <c r="D199" s="26">
        <f t="shared" si="67"/>
        <v>16.899999999999999</v>
      </c>
      <c r="E199" s="73">
        <f t="shared" si="89"/>
        <v>0</v>
      </c>
      <c r="F199" s="73">
        <f t="shared" si="89"/>
        <v>0</v>
      </c>
      <c r="G199" s="73">
        <f t="shared" si="89"/>
        <v>16.899999999999999</v>
      </c>
      <c r="H199" s="967"/>
      <c r="I199" s="967"/>
      <c r="J199" s="967"/>
      <c r="K199" s="967"/>
      <c r="L199" s="967"/>
      <c r="M199" s="967"/>
      <c r="N199" s="979"/>
      <c r="O199" s="975"/>
      <c r="P199" s="982">
        <f>Q199+R199+S199</f>
        <v>16.899999999999999</v>
      </c>
      <c r="Q199" s="982"/>
      <c r="R199" s="967"/>
      <c r="S199" s="967">
        <v>16.899999999999999</v>
      </c>
      <c r="T199" s="26"/>
      <c r="U199" s="26"/>
      <c r="V199" s="26"/>
      <c r="W199" s="26"/>
      <c r="X199" s="262"/>
      <c r="Y199" s="262"/>
      <c r="Z199" s="262"/>
      <c r="AA199" s="262"/>
      <c r="AB199" s="262"/>
      <c r="AC199" s="262"/>
      <c r="AD199" s="320"/>
      <c r="AE199" s="320"/>
      <c r="AF199" s="320"/>
      <c r="AG199" s="320"/>
      <c r="AH199" s="692"/>
      <c r="AI199" s="705"/>
      <c r="AJ199" s="705"/>
      <c r="AK199" s="705"/>
      <c r="AL199" s="1013">
        <f t="shared" si="96"/>
        <v>0</v>
      </c>
      <c r="AM199" s="1013"/>
      <c r="AN199" s="1013"/>
      <c r="AO199" s="1013"/>
    </row>
    <row r="200" spans="1:42" ht="40.9" customHeight="1" x14ac:dyDescent="0.25">
      <c r="A200" s="165" t="s">
        <v>169</v>
      </c>
      <c r="B200" s="384" t="s">
        <v>251</v>
      </c>
      <c r="C200" s="166" t="s">
        <v>44</v>
      </c>
      <c r="D200" s="255">
        <f>E200+F200+G200</f>
        <v>191299.9</v>
      </c>
      <c r="E200" s="255">
        <f t="shared" si="89"/>
        <v>0</v>
      </c>
      <c r="F200" s="255">
        <f t="shared" si="89"/>
        <v>191299.9</v>
      </c>
      <c r="G200" s="255">
        <f t="shared" si="89"/>
        <v>0</v>
      </c>
      <c r="H200" s="980">
        <f>I200+J200+K200</f>
        <v>26855.3</v>
      </c>
      <c r="I200" s="980"/>
      <c r="J200" s="980">
        <v>26855.3</v>
      </c>
      <c r="K200" s="980"/>
      <c r="L200" s="980">
        <f t="shared" si="97"/>
        <v>24536.799999999999</v>
      </c>
      <c r="M200" s="980"/>
      <c r="N200" s="980">
        <v>24536.799999999999</v>
      </c>
      <c r="O200" s="980"/>
      <c r="P200" s="1004">
        <f>Q200+R200+S200</f>
        <v>28078.3</v>
      </c>
      <c r="Q200" s="1004"/>
      <c r="R200" s="1005">
        <v>28078.3</v>
      </c>
      <c r="S200" s="1005"/>
      <c r="T200" s="22">
        <f>U200+V200+W200</f>
        <v>29248.799999999999</v>
      </c>
      <c r="U200" s="22"/>
      <c r="V200" s="1148">
        <v>29248.799999999999</v>
      </c>
      <c r="W200" s="1148">
        <v>0</v>
      </c>
      <c r="X200" s="262"/>
      <c r="Y200" s="262"/>
      <c r="Z200" s="262"/>
      <c r="AA200" s="262"/>
      <c r="AB200" s="262"/>
      <c r="AC200" s="262"/>
      <c r="AD200" s="26">
        <f>AE200+AF200+AG200</f>
        <v>27766.2</v>
      </c>
      <c r="AE200" s="26"/>
      <c r="AF200" s="26">
        <v>27766.2</v>
      </c>
      <c r="AG200" s="26"/>
      <c r="AH200" s="26">
        <f>AI200+AJ200+AK200</f>
        <v>27454.1</v>
      </c>
      <c r="AI200" s="705"/>
      <c r="AJ200" s="723">
        <v>27454.1</v>
      </c>
      <c r="AK200" s="705"/>
      <c r="AL200" s="1013">
        <f t="shared" si="96"/>
        <v>27360.400000000001</v>
      </c>
      <c r="AM200" s="1013"/>
      <c r="AN200" s="1013">
        <v>27360.400000000001</v>
      </c>
      <c r="AO200" s="1013"/>
    </row>
    <row r="201" spans="1:42" ht="49.15" customHeight="1" x14ac:dyDescent="0.25">
      <c r="A201" s="167" t="s">
        <v>252</v>
      </c>
      <c r="B201" s="1112" t="s">
        <v>304</v>
      </c>
      <c r="C201" s="168" t="s">
        <v>44</v>
      </c>
      <c r="D201" s="255">
        <f>E201+F201+G201</f>
        <v>24681.536840000001</v>
      </c>
      <c r="E201" s="255">
        <f t="shared" ref="E201:G201" si="98">I201+M201+Q201+U201+AE201+AI201+AM201</f>
        <v>0</v>
      </c>
      <c r="F201" s="255">
        <f t="shared" si="98"/>
        <v>10128.6</v>
      </c>
      <c r="G201" s="255">
        <f t="shared" si="98"/>
        <v>14552.93684</v>
      </c>
      <c r="H201" s="1006">
        <f>I201+J201+K201</f>
        <v>3749.6</v>
      </c>
      <c r="I201" s="1006"/>
      <c r="J201" s="1006">
        <v>1154.5999999999999</v>
      </c>
      <c r="K201" s="1006">
        <v>2595</v>
      </c>
      <c r="L201" s="1006">
        <f t="shared" si="97"/>
        <v>3752.3</v>
      </c>
      <c r="M201" s="1006"/>
      <c r="N201" s="1006">
        <v>1302.3</v>
      </c>
      <c r="O201" s="1006">
        <v>2450</v>
      </c>
      <c r="P201" s="1007">
        <f>Q201+R201+S201</f>
        <v>3232.73684</v>
      </c>
      <c r="Q201" s="1008"/>
      <c r="R201" s="1005">
        <v>1509.9</v>
      </c>
      <c r="S201" s="1005">
        <v>1722.8368399999999</v>
      </c>
      <c r="T201" s="22">
        <f>U201+V201+W201</f>
        <v>3344.3</v>
      </c>
      <c r="U201" s="22"/>
      <c r="V201" s="1148">
        <v>1549</v>
      </c>
      <c r="W201" s="1148">
        <v>1795.3</v>
      </c>
      <c r="X201" s="262"/>
      <c r="Y201" s="262"/>
      <c r="Z201" s="262"/>
      <c r="AA201" s="262"/>
      <c r="AB201" s="262"/>
      <c r="AC201" s="262"/>
      <c r="AD201" s="26">
        <f>AE201+AF201+AG201</f>
        <v>3534.2</v>
      </c>
      <c r="AE201" s="320"/>
      <c r="AF201" s="320">
        <v>1537.6</v>
      </c>
      <c r="AG201" s="693">
        <v>1996.6</v>
      </c>
      <c r="AH201" s="26">
        <f>AI201+AJ201+AK201</f>
        <v>3534.2</v>
      </c>
      <c r="AI201" s="705"/>
      <c r="AJ201" s="320">
        <v>1537.6</v>
      </c>
      <c r="AK201" s="693">
        <v>1996.6</v>
      </c>
      <c r="AL201" s="721">
        <f>AM201+AN201+AO201</f>
        <v>3534.2</v>
      </c>
      <c r="AM201" s="721"/>
      <c r="AN201" s="721">
        <v>1537.6</v>
      </c>
      <c r="AO201" s="721">
        <v>1996.6</v>
      </c>
      <c r="AP201" s="174"/>
    </row>
    <row r="202" spans="1:42" ht="60.6" customHeight="1" x14ac:dyDescent="0.25">
      <c r="A202" s="755"/>
      <c r="B202" s="83" t="s">
        <v>201</v>
      </c>
      <c r="C202" s="756"/>
      <c r="D202" s="240"/>
      <c r="E202" s="240"/>
      <c r="F202" s="240"/>
      <c r="G202" s="240"/>
      <c r="H202" s="969"/>
      <c r="I202" s="969"/>
      <c r="J202" s="969"/>
      <c r="K202" s="969"/>
      <c r="L202" s="969"/>
      <c r="M202" s="969"/>
      <c r="N202" s="969"/>
      <c r="O202" s="969"/>
      <c r="P202" s="1009"/>
      <c r="Q202" s="1010"/>
      <c r="R202" s="964"/>
      <c r="S202" s="964"/>
      <c r="T202" s="23"/>
      <c r="U202" s="23"/>
      <c r="V202" s="23"/>
      <c r="W202" s="23"/>
      <c r="X202" s="754"/>
      <c r="Y202" s="754"/>
      <c r="Z202" s="754"/>
      <c r="AA202" s="754"/>
      <c r="AB202" s="754"/>
      <c r="AC202" s="754"/>
      <c r="AD202" s="23"/>
      <c r="AE202" s="757"/>
      <c r="AF202" s="758"/>
      <c r="AG202" s="758"/>
      <c r="AH202" s="759"/>
      <c r="AI202" s="760"/>
      <c r="AJ202" s="760"/>
      <c r="AK202" s="760"/>
      <c r="AL202" s="1016">
        <f>AM202+AN202+AO202</f>
        <v>0</v>
      </c>
      <c r="AM202" s="1016">
        <f t="shared" ref="AM202:AN202" si="99">AM203</f>
        <v>0</v>
      </c>
      <c r="AN202" s="1016">
        <f t="shared" si="99"/>
        <v>0</v>
      </c>
      <c r="AO202" s="1016">
        <f>AO203</f>
        <v>0</v>
      </c>
    </row>
    <row r="203" spans="1:42" ht="63.6" customHeight="1" x14ac:dyDescent="0.25">
      <c r="A203" s="732"/>
      <c r="B203" s="733" t="s">
        <v>274</v>
      </c>
      <c r="C203" s="734"/>
      <c r="D203" s="727">
        <f>E203+F203+G203</f>
        <v>100</v>
      </c>
      <c r="E203" s="727">
        <f t="shared" ref="D203:K204" si="100">E204</f>
        <v>0</v>
      </c>
      <c r="F203" s="727">
        <f t="shared" si="100"/>
        <v>0</v>
      </c>
      <c r="G203" s="727">
        <f t="shared" si="100"/>
        <v>100</v>
      </c>
      <c r="H203" s="966">
        <f t="shared" si="100"/>
        <v>100</v>
      </c>
      <c r="I203" s="966">
        <f t="shared" si="100"/>
        <v>0</v>
      </c>
      <c r="J203" s="966">
        <f t="shared" si="100"/>
        <v>0</v>
      </c>
      <c r="K203" s="966">
        <f t="shared" si="100"/>
        <v>100</v>
      </c>
      <c r="L203" s="966"/>
      <c r="M203" s="966"/>
      <c r="N203" s="966"/>
      <c r="O203" s="966"/>
      <c r="P203" s="966">
        <f>Q203+R203+S203</f>
        <v>0</v>
      </c>
      <c r="Q203" s="966"/>
      <c r="R203" s="966"/>
      <c r="S203" s="966">
        <f t="shared" ref="S203" si="101">S204</f>
        <v>0</v>
      </c>
      <c r="T203" s="727">
        <f>U203+V203+W203</f>
        <v>0</v>
      </c>
      <c r="U203" s="727"/>
      <c r="V203" s="727"/>
      <c r="W203" s="727">
        <f t="shared" ref="W203" si="102">W204</f>
        <v>0</v>
      </c>
      <c r="X203" s="728"/>
      <c r="Y203" s="728"/>
      <c r="Z203" s="728"/>
      <c r="AA203" s="728"/>
      <c r="AB203" s="728"/>
      <c r="AC203" s="728"/>
      <c r="AD203" s="727">
        <f>AE203+AF203+AG203</f>
        <v>0</v>
      </c>
      <c r="AE203" s="735"/>
      <c r="AF203" s="735"/>
      <c r="AG203" s="727">
        <f t="shared" ref="AG203" si="103">AG204</f>
        <v>0</v>
      </c>
      <c r="AH203" s="727">
        <f>AI203+AJ203+AK203</f>
        <v>0</v>
      </c>
      <c r="AI203" s="736"/>
      <c r="AJ203" s="736"/>
      <c r="AK203" s="737">
        <f t="shared" ref="AK203" si="104">AK204</f>
        <v>0</v>
      </c>
      <c r="AL203" s="1015">
        <f>AM203+AN203+AO203</f>
        <v>0</v>
      </c>
      <c r="AM203" s="1015">
        <f t="shared" ref="AM203:AN203" si="105">AM204+AM205</f>
        <v>0</v>
      </c>
      <c r="AN203" s="1015">
        <f t="shared" si="105"/>
        <v>0</v>
      </c>
      <c r="AO203" s="1015">
        <f>AO204+AO205</f>
        <v>0</v>
      </c>
    </row>
    <row r="204" spans="1:42" ht="60.75" x14ac:dyDescent="0.25">
      <c r="A204" s="289" t="s">
        <v>196</v>
      </c>
      <c r="B204" s="71" t="s">
        <v>253</v>
      </c>
      <c r="C204" s="108" t="s">
        <v>44</v>
      </c>
      <c r="D204" s="26">
        <f t="shared" si="100"/>
        <v>100</v>
      </c>
      <c r="E204" s="26">
        <f t="shared" si="100"/>
        <v>0</v>
      </c>
      <c r="F204" s="26">
        <f t="shared" si="100"/>
        <v>0</v>
      </c>
      <c r="G204" s="26">
        <f t="shared" si="100"/>
        <v>100</v>
      </c>
      <c r="H204" s="967">
        <f t="shared" si="100"/>
        <v>100</v>
      </c>
      <c r="I204" s="967">
        <f t="shared" si="100"/>
        <v>0</v>
      </c>
      <c r="J204" s="967">
        <f t="shared" si="100"/>
        <v>0</v>
      </c>
      <c r="K204" s="967">
        <f>K205</f>
        <v>100</v>
      </c>
      <c r="L204" s="967"/>
      <c r="M204" s="967"/>
      <c r="N204" s="967"/>
      <c r="O204" s="967"/>
      <c r="P204" s="967"/>
      <c r="Q204" s="967"/>
      <c r="R204" s="967"/>
      <c r="S204" s="967"/>
      <c r="T204" s="26"/>
      <c r="U204" s="26"/>
      <c r="V204" s="26"/>
      <c r="W204" s="26"/>
      <c r="X204" s="262"/>
      <c r="Y204" s="262"/>
      <c r="Z204" s="262"/>
      <c r="AA204" s="262"/>
      <c r="AB204" s="262"/>
      <c r="AC204" s="262"/>
      <c r="AD204" s="320"/>
      <c r="AE204" s="320"/>
      <c r="AF204" s="320"/>
      <c r="AG204" s="320"/>
      <c r="AH204" s="692"/>
      <c r="AI204" s="705"/>
      <c r="AJ204" s="705"/>
      <c r="AK204" s="705"/>
      <c r="AL204" s="1013">
        <f>AM204+AN204+AO204</f>
        <v>0</v>
      </c>
      <c r="AM204" s="1013"/>
      <c r="AN204" s="1013"/>
      <c r="AO204" s="1013"/>
    </row>
    <row r="205" spans="1:42" ht="35.450000000000003" customHeight="1" x14ac:dyDescent="0.25">
      <c r="A205" s="234" t="s">
        <v>238</v>
      </c>
      <c r="B205" s="71"/>
      <c r="C205" s="71" t="s">
        <v>16</v>
      </c>
      <c r="D205" s="26">
        <f>E205+F205+G205</f>
        <v>100</v>
      </c>
      <c r="E205" s="26">
        <f>I205+M205+Q205+U205+AE205</f>
        <v>0</v>
      </c>
      <c r="F205" s="26">
        <f>J205+N205+R205+V205+AF205</f>
        <v>0</v>
      </c>
      <c r="G205" s="26">
        <f>K205+O205+S205+W205+AG205</f>
        <v>100</v>
      </c>
      <c r="H205" s="967">
        <f>I205+J205+K205</f>
        <v>100</v>
      </c>
      <c r="I205" s="967"/>
      <c r="J205" s="967"/>
      <c r="K205" s="967">
        <v>100</v>
      </c>
      <c r="L205" s="967"/>
      <c r="M205" s="967"/>
      <c r="N205" s="982"/>
      <c r="O205" s="982"/>
      <c r="P205" s="982"/>
      <c r="Q205" s="982"/>
      <c r="R205" s="967"/>
      <c r="S205" s="967"/>
      <c r="T205" s="26"/>
      <c r="U205" s="26"/>
      <c r="V205" s="26"/>
      <c r="W205" s="26"/>
      <c r="X205" s="262"/>
      <c r="Y205" s="262"/>
      <c r="Z205" s="262"/>
      <c r="AA205" s="262"/>
      <c r="AB205" s="262"/>
      <c r="AC205" s="262"/>
      <c r="AD205" s="320"/>
      <c r="AE205" s="320"/>
      <c r="AF205" s="320"/>
      <c r="AG205" s="320"/>
      <c r="AH205" s="692"/>
      <c r="AI205" s="705"/>
      <c r="AJ205" s="705"/>
      <c r="AK205" s="705"/>
      <c r="AL205" s="1013">
        <f>AM205+AN205+AO205</f>
        <v>0</v>
      </c>
      <c r="AM205" s="1013"/>
      <c r="AN205" s="1013"/>
      <c r="AO205" s="1013"/>
    </row>
    <row r="206" spans="1:42" ht="58.15" hidden="1" customHeight="1" x14ac:dyDescent="0.25">
      <c r="A206" s="169"/>
      <c r="B206" s="170"/>
      <c r="C206" s="170"/>
      <c r="D206" s="256"/>
      <c r="E206" s="256"/>
      <c r="F206" s="256"/>
      <c r="G206" s="256"/>
      <c r="H206" s="256"/>
      <c r="I206" s="256"/>
      <c r="J206" s="256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L206" s="1014"/>
      <c r="AM206" s="1014"/>
      <c r="AN206" s="1014"/>
      <c r="AO206" s="1014"/>
    </row>
    <row r="207" spans="1:42" ht="15" x14ac:dyDescent="0.25">
      <c r="A207" s="169"/>
      <c r="B207" s="171"/>
      <c r="C207" s="170"/>
      <c r="D207" s="256"/>
      <c r="E207" s="256"/>
      <c r="F207" s="256"/>
      <c r="G207" s="256"/>
      <c r="H207" s="256"/>
      <c r="I207" s="256"/>
      <c r="J207" s="256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  <c r="W207" s="257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L207" s="1014"/>
      <c r="AM207" s="1014"/>
      <c r="AN207" s="1014"/>
      <c r="AO207" s="1014"/>
    </row>
    <row r="208" spans="1:42" ht="15" x14ac:dyDescent="0.25">
      <c r="A208" s="169"/>
      <c r="B208" s="172"/>
      <c r="C208" s="171"/>
      <c r="D208" s="243"/>
      <c r="E208" s="243"/>
      <c r="F208" s="243"/>
      <c r="G208" s="243"/>
      <c r="H208" s="243"/>
      <c r="I208" s="243"/>
      <c r="J208" s="243"/>
      <c r="K208" s="258"/>
      <c r="L208" s="258"/>
      <c r="M208" s="258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</row>
    <row r="209" spans="1:33" ht="15" x14ac:dyDescent="0.25">
      <c r="B209" s="172"/>
      <c r="C209" s="172"/>
      <c r="D209" s="243"/>
      <c r="E209" s="243"/>
      <c r="F209" s="243"/>
      <c r="G209" s="243"/>
      <c r="H209" s="243"/>
      <c r="I209" s="243"/>
      <c r="J209" s="243"/>
      <c r="K209" s="260"/>
      <c r="L209" s="260"/>
      <c r="M209" s="260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</row>
    <row r="210" spans="1:33" ht="15" x14ac:dyDescent="0.25">
      <c r="B210" s="172"/>
      <c r="C210" s="172"/>
      <c r="D210" s="243"/>
      <c r="E210" s="243"/>
      <c r="F210" s="243"/>
      <c r="G210" s="243"/>
      <c r="H210" s="243"/>
      <c r="I210" s="243"/>
      <c r="J210" s="243"/>
      <c r="K210" s="260"/>
      <c r="L210" s="260"/>
      <c r="M210" s="260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</row>
    <row r="211" spans="1:33" ht="15" x14ac:dyDescent="0.25">
      <c r="B211" s="172"/>
      <c r="C211" s="172"/>
      <c r="D211" s="243"/>
      <c r="E211" s="243"/>
      <c r="F211" s="243"/>
      <c r="G211" s="243"/>
      <c r="H211" s="243"/>
      <c r="I211" s="243"/>
      <c r="J211" s="243"/>
      <c r="K211" s="258"/>
      <c r="L211" s="258"/>
      <c r="M211" s="258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</row>
    <row r="212" spans="1:33" ht="15" x14ac:dyDescent="0.25">
      <c r="A212" s="78"/>
      <c r="C212" s="172"/>
      <c r="D212" s="262"/>
      <c r="E212" s="262"/>
      <c r="F212" s="262"/>
      <c r="G212" s="262"/>
      <c r="H212" s="262"/>
      <c r="I212" s="262"/>
      <c r="J212" s="262"/>
      <c r="K212" s="263"/>
      <c r="L212" s="263"/>
      <c r="M212" s="263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</row>
    <row r="213" spans="1:33" ht="15" x14ac:dyDescent="0.25">
      <c r="A213" s="78"/>
      <c r="D213" s="262"/>
      <c r="E213" s="262"/>
      <c r="F213" s="262"/>
      <c r="G213" s="262"/>
      <c r="H213" s="262"/>
      <c r="I213" s="262"/>
      <c r="J213" s="262"/>
      <c r="K213" s="264"/>
      <c r="L213" s="264"/>
      <c r="M213" s="264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</row>
    <row r="214" spans="1:33" ht="15" x14ac:dyDescent="0.25">
      <c r="A214" s="78"/>
      <c r="D214" s="262"/>
      <c r="E214" s="262"/>
      <c r="F214" s="262"/>
      <c r="G214" s="262"/>
      <c r="H214" s="262"/>
      <c r="I214" s="262"/>
      <c r="J214" s="262"/>
      <c r="K214" s="264"/>
      <c r="L214" s="264"/>
      <c r="M214" s="264"/>
      <c r="N214" s="259"/>
      <c r="O214" s="259"/>
      <c r="P214" s="259"/>
      <c r="Q214" s="259"/>
      <c r="R214" s="259"/>
      <c r="S214" s="259"/>
      <c r="T214" s="259"/>
      <c r="U214" s="259"/>
      <c r="V214" s="259"/>
      <c r="W214" s="259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</row>
    <row r="215" spans="1:33" ht="15" x14ac:dyDescent="0.25">
      <c r="A215" s="78"/>
      <c r="D215" s="262"/>
      <c r="E215" s="262"/>
      <c r="F215" s="262"/>
      <c r="G215" s="262"/>
      <c r="H215" s="262"/>
      <c r="I215" s="262"/>
      <c r="J215" s="262"/>
      <c r="K215" s="264"/>
      <c r="L215" s="264"/>
      <c r="M215" s="264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</row>
    <row r="216" spans="1:33" x14ac:dyDescent="0.2">
      <c r="A216" s="78"/>
      <c r="D216" s="174"/>
      <c r="E216" s="174"/>
      <c r="F216" s="174"/>
      <c r="G216" s="174"/>
      <c r="H216" s="174"/>
      <c r="I216" s="174"/>
      <c r="J216" s="174"/>
      <c r="K216" s="175"/>
      <c r="L216" s="175"/>
      <c r="M216" s="175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</row>
  </sheetData>
  <mergeCells count="11">
    <mergeCell ref="AL4:AO4"/>
    <mergeCell ref="AH4:AK4"/>
    <mergeCell ref="AD4:AG4"/>
    <mergeCell ref="A4:A5"/>
    <mergeCell ref="D1:W1"/>
    <mergeCell ref="B2:R2"/>
    <mergeCell ref="D4:G4"/>
    <mergeCell ref="H4:K4"/>
    <mergeCell ref="L4:O4"/>
    <mergeCell ref="P4:S4"/>
    <mergeCell ref="T4:W4"/>
  </mergeCells>
  <pageMargins left="0" right="0" top="0.35433070866141736" bottom="0.19685039370078741" header="0.31496062992125984" footer="0.11811023622047245"/>
  <pageSetup paperSize="9" scale="40" orientation="landscape" r:id="rId1"/>
  <rowBreaks count="3" manualBreakCount="3">
    <brk id="28" min="2" max="40" man="1"/>
    <brk id="118" min="2" max="40" man="1"/>
    <brk id="168" min="2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view="pageBreakPreview" zoomScale="90" zoomScaleNormal="72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6" sqref="X6"/>
    </sheetView>
  </sheetViews>
  <sheetFormatPr defaultColWidth="8.85546875" defaultRowHeight="15" x14ac:dyDescent="0.25"/>
  <cols>
    <col min="1" max="1" width="6.42578125" style="4" customWidth="1"/>
    <col min="2" max="2" width="33.28515625" style="4" customWidth="1"/>
    <col min="3" max="3" width="9.7109375" style="4" customWidth="1"/>
    <col min="4" max="4" width="0.28515625" style="4" hidden="1" customWidth="1"/>
    <col min="5" max="5" width="14.140625" style="4" customWidth="1"/>
    <col min="6" max="6" width="5.28515625" style="4" customWidth="1"/>
    <col min="7" max="7" width="4.7109375" style="4" customWidth="1"/>
    <col min="8" max="8" width="11.28515625" style="353" customWidth="1"/>
    <col min="9" max="9" width="7.7109375" style="353" customWidth="1"/>
    <col min="10" max="10" width="4.42578125" style="353" customWidth="1"/>
    <col min="11" max="11" width="3.85546875" style="353" customWidth="1"/>
    <col min="12" max="12" width="8.140625" style="4" customWidth="1"/>
    <col min="13" max="13" width="7.28515625" style="4" customWidth="1"/>
    <col min="14" max="14" width="4.140625" style="4" customWidth="1"/>
    <col min="15" max="15" width="4.42578125" style="4" customWidth="1"/>
    <col min="16" max="16" width="7.28515625" style="4" customWidth="1"/>
    <col min="17" max="17" width="7.7109375" style="4" customWidth="1"/>
    <col min="18" max="18" width="4.7109375" style="4" customWidth="1"/>
    <col min="19" max="19" width="4.140625" style="4" customWidth="1"/>
    <col min="20" max="20" width="7.5703125" style="4" customWidth="1"/>
    <col min="21" max="21" width="10.28515625" style="4" customWidth="1"/>
    <col min="22" max="22" width="5.28515625" style="4" customWidth="1"/>
    <col min="23" max="23" width="5.42578125" style="4" customWidth="1"/>
    <col min="24" max="24" width="13.85546875" style="4" customWidth="1"/>
    <col min="25" max="25" width="8.85546875" style="4" customWidth="1"/>
    <col min="26" max="26" width="5" style="4" customWidth="1"/>
    <col min="27" max="27" width="4.85546875" style="4" customWidth="1"/>
    <col min="28" max="28" width="7.42578125" style="4" customWidth="1"/>
    <col min="29" max="29" width="10.7109375" style="4" customWidth="1"/>
    <col min="30" max="30" width="6.140625" style="4" customWidth="1"/>
    <col min="31" max="31" width="5" style="4" customWidth="1"/>
    <col min="32" max="16384" width="8.85546875" style="4"/>
  </cols>
  <sheetData>
    <row r="1" spans="1:36" ht="39" customHeight="1" x14ac:dyDescent="0.25">
      <c r="C1" s="351"/>
      <c r="D1" s="352"/>
      <c r="E1" s="352"/>
      <c r="F1" s="352"/>
      <c r="G1" s="352"/>
      <c r="H1" s="1183" t="s">
        <v>373</v>
      </c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  <c r="V1" s="1183"/>
      <c r="W1" s="1183"/>
      <c r="X1" s="1183"/>
      <c r="Y1" s="352"/>
    </row>
    <row r="2" spans="1:36" ht="39" customHeight="1" x14ac:dyDescent="0.3">
      <c r="B2" s="1169" t="s">
        <v>374</v>
      </c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  <c r="R2" s="1184"/>
      <c r="S2" s="1184"/>
      <c r="T2" s="1184"/>
      <c r="U2" s="1184"/>
      <c r="V2" s="1184"/>
      <c r="W2" s="1184"/>
      <c r="X2" s="1184"/>
    </row>
    <row r="3" spans="1:36" ht="26.45" customHeight="1" x14ac:dyDescent="0.25">
      <c r="K3" s="347"/>
    </row>
    <row r="4" spans="1:36" ht="52.9" customHeight="1" x14ac:dyDescent="0.25">
      <c r="A4" s="65"/>
      <c r="B4" s="354" t="s">
        <v>0</v>
      </c>
      <c r="C4" s="355" t="s">
        <v>15</v>
      </c>
      <c r="D4" s="356"/>
      <c r="E4" s="1178" t="s">
        <v>159</v>
      </c>
      <c r="F4" s="1178"/>
      <c r="G4" s="1178"/>
      <c r="H4" s="1178"/>
      <c r="I4" s="1185">
        <v>2014</v>
      </c>
      <c r="J4" s="1185"/>
      <c r="K4" s="1186"/>
      <c r="L4" s="1186"/>
      <c r="M4" s="1185">
        <v>2015</v>
      </c>
      <c r="N4" s="1185"/>
      <c r="O4" s="1185"/>
      <c r="P4" s="1185"/>
      <c r="Q4" s="1185">
        <v>2016</v>
      </c>
      <c r="R4" s="1185"/>
      <c r="S4" s="1185"/>
      <c r="T4" s="1185"/>
      <c r="U4" s="1178">
        <v>2017</v>
      </c>
      <c r="V4" s="1178"/>
      <c r="W4" s="1178"/>
      <c r="X4" s="1178"/>
      <c r="Y4" s="1178">
        <v>2018</v>
      </c>
      <c r="Z4" s="1178"/>
      <c r="AA4" s="1178"/>
      <c r="AB4" s="1178"/>
      <c r="AC4" s="1178">
        <v>2019</v>
      </c>
      <c r="AD4" s="1178"/>
      <c r="AE4" s="1178"/>
      <c r="AF4" s="1178"/>
      <c r="AG4" s="1178">
        <v>2020</v>
      </c>
      <c r="AH4" s="1178"/>
      <c r="AI4" s="1178"/>
      <c r="AJ4" s="1178"/>
    </row>
    <row r="5" spans="1:36" ht="18" customHeight="1" x14ac:dyDescent="0.25">
      <c r="A5" s="367"/>
      <c r="B5" s="136"/>
      <c r="C5" s="1115"/>
      <c r="D5" s="1115"/>
      <c r="E5" s="1116" t="s">
        <v>148</v>
      </c>
      <c r="F5" s="1117" t="s">
        <v>4</v>
      </c>
      <c r="G5" s="1118" t="s">
        <v>3</v>
      </c>
      <c r="H5" s="1119" t="s">
        <v>5</v>
      </c>
      <c r="I5" s="1120" t="s">
        <v>148</v>
      </c>
      <c r="J5" s="1121" t="s">
        <v>4</v>
      </c>
      <c r="K5" s="1121" t="s">
        <v>3</v>
      </c>
      <c r="L5" s="1113" t="s">
        <v>5</v>
      </c>
      <c r="M5" s="1113" t="s">
        <v>148</v>
      </c>
      <c r="N5" s="1113" t="s">
        <v>4</v>
      </c>
      <c r="O5" s="1113" t="s">
        <v>3</v>
      </c>
      <c r="P5" s="1113" t="s">
        <v>5</v>
      </c>
      <c r="Q5" s="1113" t="s">
        <v>148</v>
      </c>
      <c r="R5" s="1113" t="s">
        <v>4</v>
      </c>
      <c r="S5" s="1113" t="s">
        <v>3</v>
      </c>
      <c r="T5" s="1113" t="s">
        <v>5</v>
      </c>
      <c r="U5" s="1114" t="s">
        <v>148</v>
      </c>
      <c r="V5" s="1114" t="s">
        <v>4</v>
      </c>
      <c r="W5" s="1114" t="s">
        <v>3</v>
      </c>
      <c r="X5" s="1114" t="s">
        <v>5</v>
      </c>
      <c r="Y5" s="1114" t="s">
        <v>148</v>
      </c>
      <c r="Z5" s="1114" t="s">
        <v>4</v>
      </c>
      <c r="AA5" s="1114" t="s">
        <v>3</v>
      </c>
      <c r="AB5" s="1114" t="s">
        <v>5</v>
      </c>
      <c r="AC5" s="1114" t="s">
        <v>148</v>
      </c>
      <c r="AD5" s="1114" t="s">
        <v>4</v>
      </c>
      <c r="AE5" s="1114" t="s">
        <v>3</v>
      </c>
      <c r="AF5" s="1114" t="s">
        <v>5</v>
      </c>
      <c r="AG5" s="1114" t="s">
        <v>148</v>
      </c>
      <c r="AH5" s="1114" t="s">
        <v>4</v>
      </c>
      <c r="AI5" s="1114" t="s">
        <v>3</v>
      </c>
      <c r="AJ5" s="1114" t="s">
        <v>5</v>
      </c>
    </row>
    <row r="6" spans="1:36" ht="81" customHeight="1" x14ac:dyDescent="0.25">
      <c r="A6" s="357"/>
      <c r="B6" s="358" t="s">
        <v>375</v>
      </c>
      <c r="C6" s="359"/>
      <c r="D6" s="359"/>
      <c r="E6" s="396">
        <f t="shared" ref="E6:G6" si="0">E7</f>
        <v>382254.33100999997</v>
      </c>
      <c r="F6" s="396">
        <f t="shared" si="0"/>
        <v>0</v>
      </c>
      <c r="G6" s="396">
        <f t="shared" si="0"/>
        <v>0</v>
      </c>
      <c r="H6" s="396">
        <f>H7</f>
        <v>382254.33100999997</v>
      </c>
      <c r="I6" s="964">
        <f t="shared" ref="I6:K6" si="1">I7</f>
        <v>48204</v>
      </c>
      <c r="J6" s="964">
        <f t="shared" si="1"/>
        <v>0</v>
      </c>
      <c r="K6" s="964">
        <f t="shared" si="1"/>
        <v>0</v>
      </c>
      <c r="L6" s="964">
        <f>L7</f>
        <v>48204</v>
      </c>
      <c r="M6" s="964">
        <f t="shared" ref="M6" si="2">M7</f>
        <v>49476.77</v>
      </c>
      <c r="N6" s="964">
        <f t="shared" ref="N6" si="3">N7</f>
        <v>0</v>
      </c>
      <c r="O6" s="964">
        <f t="shared" ref="O6" si="4">O7</f>
        <v>0</v>
      </c>
      <c r="P6" s="964">
        <f t="shared" ref="P6" si="5">P7</f>
        <v>49476.77</v>
      </c>
      <c r="Q6" s="964">
        <f t="shared" ref="Q6" si="6">Q7</f>
        <v>51257.975699999995</v>
      </c>
      <c r="R6" s="964">
        <f t="shared" ref="R6" si="7">R7</f>
        <v>0</v>
      </c>
      <c r="S6" s="964">
        <f t="shared" ref="S6" si="8">S7</f>
        <v>0</v>
      </c>
      <c r="T6" s="964">
        <f t="shared" ref="T6:AI6" si="9">T7</f>
        <v>51257.975699999995</v>
      </c>
      <c r="U6" s="696">
        <f t="shared" si="9"/>
        <v>56480.585309999995</v>
      </c>
      <c r="V6" s="696">
        <f t="shared" si="9"/>
        <v>0</v>
      </c>
      <c r="W6" s="696">
        <f t="shared" si="9"/>
        <v>0</v>
      </c>
      <c r="X6" s="696">
        <f t="shared" si="9"/>
        <v>56480.585309999995</v>
      </c>
      <c r="Y6" s="696">
        <f t="shared" si="9"/>
        <v>59135</v>
      </c>
      <c r="Z6" s="696">
        <f t="shared" si="9"/>
        <v>0</v>
      </c>
      <c r="AA6" s="696">
        <f t="shared" si="9"/>
        <v>0</v>
      </c>
      <c r="AB6" s="696">
        <f t="shared" si="9"/>
        <v>59135</v>
      </c>
      <c r="AC6" s="696">
        <f t="shared" si="9"/>
        <v>58600</v>
      </c>
      <c r="AD6" s="696">
        <f t="shared" si="9"/>
        <v>0</v>
      </c>
      <c r="AE6" s="696">
        <f t="shared" si="9"/>
        <v>0</v>
      </c>
      <c r="AF6" s="696">
        <f t="shared" si="9"/>
        <v>58600</v>
      </c>
      <c r="AG6" s="696">
        <f t="shared" si="9"/>
        <v>59100</v>
      </c>
      <c r="AH6" s="696">
        <f t="shared" si="9"/>
        <v>0</v>
      </c>
      <c r="AI6" s="696">
        <f t="shared" si="9"/>
        <v>0</v>
      </c>
      <c r="AJ6" s="696">
        <f>AJ7</f>
        <v>59100</v>
      </c>
    </row>
    <row r="7" spans="1:36" ht="63" customHeight="1" x14ac:dyDescent="0.25">
      <c r="A7" s="472"/>
      <c r="B7" s="83" t="s">
        <v>376</v>
      </c>
      <c r="C7" s="358"/>
      <c r="D7" s="358"/>
      <c r="E7" s="696">
        <f t="shared" ref="E7:E17" si="10">G7+H7</f>
        <v>382254.33100999997</v>
      </c>
      <c r="F7" s="696">
        <f t="shared" ref="F7:G12" si="11">J7+N7+R7+V7+Z7+AD7+AH7</f>
        <v>0</v>
      </c>
      <c r="G7" s="696">
        <f t="shared" si="11"/>
        <v>0</v>
      </c>
      <c r="H7" s="696">
        <f>L7+P7+T7+X7+AB7+AF7+AJ7</f>
        <v>382254.33100999997</v>
      </c>
      <c r="I7" s="964">
        <f t="shared" ref="I7:I17" si="12">K7+L7</f>
        <v>48204</v>
      </c>
      <c r="J7" s="964">
        <v>0</v>
      </c>
      <c r="K7" s="964">
        <f>K8+K12+K16</f>
        <v>0</v>
      </c>
      <c r="L7" s="964">
        <f>L8+L12+L16</f>
        <v>48204</v>
      </c>
      <c r="M7" s="964">
        <f t="shared" ref="M7:M17" si="13">O7+P7</f>
        <v>49476.77</v>
      </c>
      <c r="N7" s="964">
        <v>0</v>
      </c>
      <c r="O7" s="964">
        <f>O8+O12+O16</f>
        <v>0</v>
      </c>
      <c r="P7" s="964">
        <f>P8+P12+P16</f>
        <v>49476.77</v>
      </c>
      <c r="Q7" s="964">
        <f t="shared" ref="Q7:Q17" si="14">S7+T7</f>
        <v>51257.975699999995</v>
      </c>
      <c r="R7" s="964">
        <v>0</v>
      </c>
      <c r="S7" s="964">
        <f>S8+S12+S16</f>
        <v>0</v>
      </c>
      <c r="T7" s="964">
        <f>T8+T12+T16+T18</f>
        <v>51257.975699999995</v>
      </c>
      <c r="U7" s="696">
        <f t="shared" ref="U7:U21" si="15">W7+X7</f>
        <v>56480.585309999995</v>
      </c>
      <c r="V7" s="696">
        <v>0</v>
      </c>
      <c r="W7" s="696">
        <f>W8+W12+W16</f>
        <v>0</v>
      </c>
      <c r="X7" s="696">
        <f>X8+X12+X16+X18+X19+X20+X21</f>
        <v>56480.585309999995</v>
      </c>
      <c r="Y7" s="696">
        <f>AA7+AB7</f>
        <v>59135</v>
      </c>
      <c r="Z7" s="696">
        <v>0</v>
      </c>
      <c r="AA7" s="696">
        <f>AA8+AA12+AA16</f>
        <v>0</v>
      </c>
      <c r="AB7" s="696">
        <f>AB8+AB12+AB16+AB18+AB19+AB21</f>
        <v>59135</v>
      </c>
      <c r="AC7" s="696">
        <f>AD7+AE7+AF7</f>
        <v>58600</v>
      </c>
      <c r="AD7" s="696">
        <f t="shared" ref="AD7:AE7" si="16">AD8+AD12+AD16</f>
        <v>0</v>
      </c>
      <c r="AE7" s="696">
        <f t="shared" si="16"/>
        <v>0</v>
      </c>
      <c r="AF7" s="696">
        <f>AF8+AF12+AF16+AF18+AF21</f>
        <v>58600</v>
      </c>
      <c r="AG7" s="1042">
        <f>AH7+AI7+AJ7</f>
        <v>59100</v>
      </c>
      <c r="AH7" s="696">
        <f t="shared" ref="AH7:AI7" si="17">AH8+AH12+AH16+AH18</f>
        <v>0</v>
      </c>
      <c r="AI7" s="696">
        <f t="shared" si="17"/>
        <v>0</v>
      </c>
      <c r="AJ7" s="696">
        <f>AJ8+AJ12+AJ16+AJ18+AJ21</f>
        <v>59100</v>
      </c>
    </row>
    <row r="8" spans="1:36" ht="54" customHeight="1" x14ac:dyDescent="0.25">
      <c r="A8" s="763" t="s">
        <v>188</v>
      </c>
      <c r="B8" s="765" t="s">
        <v>377</v>
      </c>
      <c r="C8" s="765" t="s">
        <v>574</v>
      </c>
      <c r="D8" s="766"/>
      <c r="E8" s="767">
        <f t="shared" si="10"/>
        <v>368358.12939000002</v>
      </c>
      <c r="F8" s="767">
        <f t="shared" si="11"/>
        <v>0</v>
      </c>
      <c r="G8" s="767">
        <f t="shared" si="11"/>
        <v>0</v>
      </c>
      <c r="H8" s="767">
        <f>L8+P8+T8+X8+AB8+AF8+AJ8</f>
        <v>368358.12939000002</v>
      </c>
      <c r="I8" s="1027">
        <f t="shared" si="12"/>
        <v>47715.8</v>
      </c>
      <c r="J8" s="1027"/>
      <c r="K8" s="1027"/>
      <c r="L8" s="1027">
        <v>47715.8</v>
      </c>
      <c r="M8" s="1028">
        <f>M9+M10</f>
        <v>48665.1</v>
      </c>
      <c r="N8" s="1028">
        <f>N9+N10</f>
        <v>0</v>
      </c>
      <c r="O8" s="1028">
        <f>O9+O10</f>
        <v>0</v>
      </c>
      <c r="P8" s="1028">
        <f>P9+P10</f>
        <v>48665.1</v>
      </c>
      <c r="Q8" s="1029">
        <f>Q9+Q10</f>
        <v>50055.034699999997</v>
      </c>
      <c r="R8" s="1027"/>
      <c r="S8" s="1028"/>
      <c r="T8" s="1030">
        <f>T9+T10</f>
        <v>50055.034699999997</v>
      </c>
      <c r="U8" s="767">
        <f t="shared" si="15"/>
        <v>52481.194689999997</v>
      </c>
      <c r="V8" s="767"/>
      <c r="W8" s="768"/>
      <c r="X8" s="769">
        <f>X9+X10+X11</f>
        <v>52481.194689999997</v>
      </c>
      <c r="Y8" s="767">
        <f>AA8+AB8</f>
        <v>56637</v>
      </c>
      <c r="Z8" s="767"/>
      <c r="AA8" s="768"/>
      <c r="AB8" s="769">
        <f>AB9+AB10+AB11</f>
        <v>56637</v>
      </c>
      <c r="AC8" s="770">
        <f>AD8+AE8+AF8</f>
        <v>56152</v>
      </c>
      <c r="AD8" s="769">
        <f t="shared" ref="AD8:AE8" si="18">AD9+AD10</f>
        <v>0</v>
      </c>
      <c r="AE8" s="769">
        <f t="shared" si="18"/>
        <v>0</v>
      </c>
      <c r="AF8" s="769">
        <f>AF9+AF10+AF11</f>
        <v>56152</v>
      </c>
      <c r="AG8" s="735">
        <f t="shared" ref="AG8:AG10" si="19">AH8+AI8+AJ8</f>
        <v>56652</v>
      </c>
      <c r="AH8" s="735">
        <f t="shared" ref="AH8:AI8" si="20">AH9+AH10+AH11</f>
        <v>0</v>
      </c>
      <c r="AI8" s="735">
        <f t="shared" si="20"/>
        <v>0</v>
      </c>
      <c r="AJ8" s="769">
        <f>AJ9+AJ10+AJ11</f>
        <v>56652</v>
      </c>
    </row>
    <row r="9" spans="1:36" s="136" customFormat="1" ht="72" customHeight="1" x14ac:dyDescent="0.25">
      <c r="A9" s="397" t="s">
        <v>6</v>
      </c>
      <c r="B9" s="398" t="s">
        <v>379</v>
      </c>
      <c r="C9" s="398" t="s">
        <v>380</v>
      </c>
      <c r="D9" s="399"/>
      <c r="E9" s="26">
        <f t="shared" si="10"/>
        <v>70809.094799999992</v>
      </c>
      <c r="F9" s="26">
        <f t="shared" si="11"/>
        <v>0</v>
      </c>
      <c r="G9" s="26">
        <f t="shared" si="11"/>
        <v>0</v>
      </c>
      <c r="H9" s="26">
        <f>L9+P9+T9+X9+AB9+AF9+AJ9</f>
        <v>70809.094799999992</v>
      </c>
      <c r="I9" s="967">
        <f>J9+K9+L9</f>
        <v>8782.7999999999993</v>
      </c>
      <c r="J9" s="967"/>
      <c r="K9" s="967"/>
      <c r="L9" s="967">
        <v>8782.7999999999993</v>
      </c>
      <c r="M9" s="967">
        <f>N9+O9+P9</f>
        <v>9404.9</v>
      </c>
      <c r="N9" s="967"/>
      <c r="O9" s="1031"/>
      <c r="P9" s="1031">
        <v>9404.9</v>
      </c>
      <c r="Q9" s="967">
        <f>R9+S9+T9</f>
        <v>10446.594800000001</v>
      </c>
      <c r="R9" s="967"/>
      <c r="S9" s="1031"/>
      <c r="T9" s="975">
        <v>10446.594800000001</v>
      </c>
      <c r="U9" s="26">
        <f>V9+W9+X9</f>
        <v>10254.799999999999</v>
      </c>
      <c r="V9" s="26"/>
      <c r="W9" s="560"/>
      <c r="X9" s="716">
        <v>10254.799999999999</v>
      </c>
      <c r="Y9" s="26">
        <f>Z9+AA9+AB9</f>
        <v>10640</v>
      </c>
      <c r="Z9" s="777"/>
      <c r="AA9" s="777"/>
      <c r="AB9" s="716">
        <v>10640</v>
      </c>
      <c r="AC9" s="26">
        <f t="shared" ref="AC9:AC21" si="21">AD9+AE9+AF9</f>
        <v>10640</v>
      </c>
      <c r="AD9" s="778"/>
      <c r="AE9" s="778"/>
      <c r="AF9" s="693">
        <v>10640</v>
      </c>
      <c r="AG9" s="1104">
        <f t="shared" si="19"/>
        <v>10640</v>
      </c>
      <c r="AH9" s="459"/>
      <c r="AI9" s="459"/>
      <c r="AJ9" s="1104">
        <v>10640</v>
      </c>
    </row>
    <row r="10" spans="1:36" s="136" customFormat="1" ht="35.450000000000003" customHeight="1" x14ac:dyDescent="0.25">
      <c r="A10" s="397" t="s">
        <v>8</v>
      </c>
      <c r="B10" s="379" t="s">
        <v>381</v>
      </c>
      <c r="C10" s="398" t="s">
        <v>575</v>
      </c>
      <c r="D10" s="399"/>
      <c r="E10" s="26">
        <f t="shared" si="10"/>
        <v>294457.53989999997</v>
      </c>
      <c r="F10" s="26">
        <f t="shared" si="11"/>
        <v>0</v>
      </c>
      <c r="G10" s="26">
        <f t="shared" si="11"/>
        <v>0</v>
      </c>
      <c r="H10" s="26">
        <f t="shared" ref="H10:H11" si="22">L10+P10+T10+X10+AB10+AF10+AJ10</f>
        <v>294457.53989999997</v>
      </c>
      <c r="I10" s="967">
        <f>J10+K10+L10</f>
        <v>38933</v>
      </c>
      <c r="J10" s="967"/>
      <c r="K10" s="967"/>
      <c r="L10" s="967">
        <v>38933</v>
      </c>
      <c r="M10" s="967">
        <f>N10+O10+P10</f>
        <v>39260.199999999997</v>
      </c>
      <c r="N10" s="967"/>
      <c r="O10" s="1031"/>
      <c r="P10" s="1031">
        <v>39260.199999999997</v>
      </c>
      <c r="Q10" s="967">
        <f>R10+S10+T10</f>
        <v>39608.439899999998</v>
      </c>
      <c r="R10" s="967"/>
      <c r="S10" s="1031"/>
      <c r="T10" s="975">
        <v>39608.439899999998</v>
      </c>
      <c r="U10" s="26">
        <f>V10+W10+X10</f>
        <v>41319.9</v>
      </c>
      <c r="V10" s="26"/>
      <c r="W10" s="560"/>
      <c r="X10" s="716">
        <v>41319.9</v>
      </c>
      <c r="Y10" s="26">
        <f>Z10+AA10+AB10</f>
        <v>45112</v>
      </c>
      <c r="Z10" s="777"/>
      <c r="AA10" s="777"/>
      <c r="AB10" s="716">
        <v>45112</v>
      </c>
      <c r="AC10" s="26">
        <f t="shared" si="21"/>
        <v>45112</v>
      </c>
      <c r="AD10" s="778"/>
      <c r="AE10" s="778"/>
      <c r="AF10" s="693">
        <v>45112</v>
      </c>
      <c r="AG10" s="1104">
        <f t="shared" si="19"/>
        <v>45112</v>
      </c>
      <c r="AH10" s="459"/>
      <c r="AI10" s="459"/>
      <c r="AJ10" s="1104">
        <v>45112</v>
      </c>
    </row>
    <row r="11" spans="1:36" s="136" customFormat="1" ht="60" customHeight="1" x14ac:dyDescent="0.25">
      <c r="A11" s="397" t="s">
        <v>52</v>
      </c>
      <c r="B11" s="160" t="s">
        <v>554</v>
      </c>
      <c r="C11" s="398" t="s">
        <v>576</v>
      </c>
      <c r="D11" s="399"/>
      <c r="E11" s="26">
        <f t="shared" si="10"/>
        <v>3091.49469</v>
      </c>
      <c r="F11" s="26">
        <f t="shared" si="11"/>
        <v>0</v>
      </c>
      <c r="G11" s="26">
        <f t="shared" si="11"/>
        <v>0</v>
      </c>
      <c r="H11" s="26">
        <f t="shared" si="22"/>
        <v>3091.49469</v>
      </c>
      <c r="I11" s="967"/>
      <c r="J11" s="967"/>
      <c r="K11" s="967"/>
      <c r="L11" s="967"/>
      <c r="M11" s="967"/>
      <c r="N11" s="967"/>
      <c r="O11" s="1031"/>
      <c r="P11" s="1031"/>
      <c r="Q11" s="967">
        <f>R11+S11+T11</f>
        <v>0</v>
      </c>
      <c r="R11" s="967"/>
      <c r="S11" s="1031"/>
      <c r="T11" s="1031"/>
      <c r="U11" s="26">
        <f>V11+W11+X11</f>
        <v>906.49468999999999</v>
      </c>
      <c r="V11" s="26"/>
      <c r="W11" s="560"/>
      <c r="X11" s="716">
        <f>1023-116.50531</f>
        <v>906.49468999999999</v>
      </c>
      <c r="Y11" s="26">
        <f>Z11+AA11+AB11</f>
        <v>885</v>
      </c>
      <c r="Z11" s="777"/>
      <c r="AA11" s="777"/>
      <c r="AB11" s="716">
        <v>885</v>
      </c>
      <c r="AC11" s="26">
        <f t="shared" si="21"/>
        <v>400</v>
      </c>
      <c r="AD11" s="778"/>
      <c r="AE11" s="778"/>
      <c r="AF11" s="693">
        <v>400</v>
      </c>
      <c r="AG11" s="1104">
        <f>AH11+AI11+AJ11</f>
        <v>900</v>
      </c>
      <c r="AH11" s="459"/>
      <c r="AI11" s="459"/>
      <c r="AJ11" s="1104">
        <v>900</v>
      </c>
    </row>
    <row r="12" spans="1:36" ht="51.75" x14ac:dyDescent="0.25">
      <c r="A12" s="763" t="s">
        <v>13</v>
      </c>
      <c r="B12" s="771" t="s">
        <v>382</v>
      </c>
      <c r="C12" s="771" t="s">
        <v>45</v>
      </c>
      <c r="D12" s="735"/>
      <c r="E12" s="767">
        <f t="shared" si="10"/>
        <v>4791.5540000000001</v>
      </c>
      <c r="F12" s="767">
        <f t="shared" si="11"/>
        <v>0</v>
      </c>
      <c r="G12" s="767">
        <f t="shared" si="11"/>
        <v>0</v>
      </c>
      <c r="H12" s="767">
        <f>L12+P12+T12+X12+AB12+AF12+AJ12</f>
        <v>4791.5540000000001</v>
      </c>
      <c r="I12" s="1027">
        <f t="shared" si="12"/>
        <v>488.2</v>
      </c>
      <c r="J12" s="1027"/>
      <c r="K12" s="1027"/>
      <c r="L12" s="1027">
        <f>L13</f>
        <v>488.2</v>
      </c>
      <c r="M12" s="1027">
        <f>O12+P12</f>
        <v>629.70000000000005</v>
      </c>
      <c r="N12" s="1027"/>
      <c r="O12" s="1027"/>
      <c r="P12" s="1027">
        <f>P13</f>
        <v>629.70000000000005</v>
      </c>
      <c r="Q12" s="1027">
        <f>R12+S12+T12</f>
        <v>810</v>
      </c>
      <c r="R12" s="1027"/>
      <c r="S12" s="1027"/>
      <c r="T12" s="1027">
        <f>T13</f>
        <v>810</v>
      </c>
      <c r="U12" s="767">
        <f>W12+X12</f>
        <v>1013.654</v>
      </c>
      <c r="V12" s="767"/>
      <c r="W12" s="767"/>
      <c r="X12" s="767">
        <f>X13</f>
        <v>1013.654</v>
      </c>
      <c r="Y12" s="767">
        <f>AA12+AB12</f>
        <v>650</v>
      </c>
      <c r="Z12" s="767"/>
      <c r="AA12" s="767"/>
      <c r="AB12" s="767">
        <f>AB13</f>
        <v>650</v>
      </c>
      <c r="AC12" s="767">
        <f t="shared" si="21"/>
        <v>600</v>
      </c>
      <c r="AD12" s="772">
        <f t="shared" ref="AD12:AE12" si="23">AD13</f>
        <v>0</v>
      </c>
      <c r="AE12" s="772">
        <f t="shared" si="23"/>
        <v>0</v>
      </c>
      <c r="AF12" s="772">
        <f>AF14</f>
        <v>600</v>
      </c>
      <c r="AG12" s="776">
        <f>AH12+AI12+AJ12</f>
        <v>600</v>
      </c>
      <c r="AH12" s="735">
        <f t="shared" ref="AH12:AI12" si="24">AH14+AH15</f>
        <v>0</v>
      </c>
      <c r="AI12" s="735">
        <f t="shared" si="24"/>
        <v>0</v>
      </c>
      <c r="AJ12" s="776">
        <f>AJ14+AJ15</f>
        <v>600</v>
      </c>
    </row>
    <row r="13" spans="1:36" s="136" customFormat="1" ht="0.6" customHeight="1" x14ac:dyDescent="0.25">
      <c r="A13" s="368" t="s">
        <v>14</v>
      </c>
      <c r="B13" s="369" t="s">
        <v>383</v>
      </c>
      <c r="C13" s="370"/>
      <c r="D13" s="371"/>
      <c r="E13" s="372">
        <f t="shared" si="10"/>
        <v>3591.5540000000001</v>
      </c>
      <c r="F13" s="372"/>
      <c r="G13" s="24">
        <f t="shared" ref="G13:G17" si="25">K13+O13+S13+W13+AA13+AE13</f>
        <v>0</v>
      </c>
      <c r="H13" s="24">
        <f t="shared" ref="G13:H21" si="26">L13+P13+T13+X13+AB13+AF13</f>
        <v>3591.5540000000001</v>
      </c>
      <c r="I13" s="971">
        <f>J13+K13+L13</f>
        <v>488.2</v>
      </c>
      <c r="J13" s="971"/>
      <c r="K13" s="971"/>
      <c r="L13" s="971">
        <f>L14+L15</f>
        <v>488.2</v>
      </c>
      <c r="M13" s="971">
        <f>N13+O13+P13</f>
        <v>629.70000000000005</v>
      </c>
      <c r="N13" s="971"/>
      <c r="O13" s="971"/>
      <c r="P13" s="971">
        <f>P14+P15</f>
        <v>629.70000000000005</v>
      </c>
      <c r="Q13" s="971">
        <f>R13+S13+T13</f>
        <v>810</v>
      </c>
      <c r="R13" s="971"/>
      <c r="S13" s="971"/>
      <c r="T13" s="971">
        <f>T14+T15</f>
        <v>810</v>
      </c>
      <c r="U13" s="372">
        <f>V13+W13+X13</f>
        <v>1013.654</v>
      </c>
      <c r="V13" s="372"/>
      <c r="W13" s="372"/>
      <c r="X13" s="372">
        <f>X14+X15</f>
        <v>1013.654</v>
      </c>
      <c r="Y13" s="372">
        <f>Z13+AA13+AB13</f>
        <v>650</v>
      </c>
      <c r="Z13" s="372"/>
      <c r="AA13" s="372"/>
      <c r="AB13" s="372">
        <f>AB14+AB15</f>
        <v>650</v>
      </c>
      <c r="AC13" s="701">
        <f t="shared" si="21"/>
        <v>0</v>
      </c>
      <c r="AD13" s="702"/>
      <c r="AE13" s="702"/>
      <c r="AF13" s="702"/>
      <c r="AG13" s="1104"/>
      <c r="AH13" s="459"/>
      <c r="AI13" s="459"/>
      <c r="AJ13" s="459"/>
    </row>
    <row r="14" spans="1:36" ht="70.5" customHeight="1" x14ac:dyDescent="0.25">
      <c r="A14" s="1179"/>
      <c r="B14" s="1181" t="s">
        <v>384</v>
      </c>
      <c r="C14" s="779" t="s">
        <v>45</v>
      </c>
      <c r="D14" s="777"/>
      <c r="E14" s="26">
        <f t="shared" si="10"/>
        <v>4473.5540000000001</v>
      </c>
      <c r="F14" s="26">
        <f t="shared" ref="F14:G15" si="27">J14+N14+R14+V14+Z14+AD14+AH14</f>
        <v>0</v>
      </c>
      <c r="G14" s="26">
        <f t="shared" si="27"/>
        <v>0</v>
      </c>
      <c r="H14" s="26">
        <f>L14+P14+T14+X14+AB14+AF14+AJ14</f>
        <v>4473.5540000000001</v>
      </c>
      <c r="I14" s="967">
        <f t="shared" si="12"/>
        <v>438.2</v>
      </c>
      <c r="J14" s="967"/>
      <c r="K14" s="1032"/>
      <c r="L14" s="975">
        <v>438.2</v>
      </c>
      <c r="M14" s="967">
        <f t="shared" si="13"/>
        <v>629.70000000000005</v>
      </c>
      <c r="N14" s="967"/>
      <c r="O14" s="1031"/>
      <c r="P14" s="1033">
        <v>629.70000000000005</v>
      </c>
      <c r="Q14" s="967">
        <f t="shared" si="14"/>
        <v>690</v>
      </c>
      <c r="R14" s="967"/>
      <c r="S14" s="967"/>
      <c r="T14" s="1033">
        <v>690</v>
      </c>
      <c r="U14" s="26">
        <f t="shared" si="15"/>
        <v>865.654</v>
      </c>
      <c r="V14" s="26"/>
      <c r="W14" s="26"/>
      <c r="X14" s="716">
        <v>865.654</v>
      </c>
      <c r="Y14" s="26">
        <f>AA14+AB14</f>
        <v>650</v>
      </c>
      <c r="Z14" s="777"/>
      <c r="AA14" s="777"/>
      <c r="AB14" s="716">
        <v>650</v>
      </c>
      <c r="AC14" s="26">
        <f t="shared" si="21"/>
        <v>600</v>
      </c>
      <c r="AD14" s="320"/>
      <c r="AE14" s="320"/>
      <c r="AF14" s="693">
        <v>600</v>
      </c>
      <c r="AG14" s="867">
        <f>AH14+AI14+AJ14</f>
        <v>600</v>
      </c>
      <c r="AH14" s="16"/>
      <c r="AI14" s="16"/>
      <c r="AJ14" s="16">
        <v>600</v>
      </c>
    </row>
    <row r="15" spans="1:36" ht="30.75" customHeight="1" x14ac:dyDescent="0.25">
      <c r="A15" s="1180"/>
      <c r="B15" s="1182"/>
      <c r="C15" s="779" t="s">
        <v>457</v>
      </c>
      <c r="D15" s="777"/>
      <c r="E15" s="26">
        <f t="shared" si="10"/>
        <v>318</v>
      </c>
      <c r="F15" s="26">
        <f t="shared" si="27"/>
        <v>0</v>
      </c>
      <c r="G15" s="26">
        <f t="shared" si="27"/>
        <v>0</v>
      </c>
      <c r="H15" s="26">
        <f>L15+P15+T15+X15+AB15+AF15+AJ15</f>
        <v>318</v>
      </c>
      <c r="I15" s="967">
        <f t="shared" si="12"/>
        <v>50</v>
      </c>
      <c r="J15" s="967"/>
      <c r="K15" s="1032"/>
      <c r="L15" s="975">
        <v>50</v>
      </c>
      <c r="M15" s="967">
        <f t="shared" si="13"/>
        <v>0</v>
      </c>
      <c r="N15" s="967"/>
      <c r="O15" s="1031"/>
      <c r="P15" s="1031"/>
      <c r="Q15" s="967">
        <f t="shared" si="14"/>
        <v>120</v>
      </c>
      <c r="R15" s="967"/>
      <c r="S15" s="967"/>
      <c r="T15" s="1033">
        <v>120</v>
      </c>
      <c r="U15" s="26">
        <f t="shared" si="15"/>
        <v>148</v>
      </c>
      <c r="V15" s="26"/>
      <c r="W15" s="26"/>
      <c r="X15" s="716">
        <v>148</v>
      </c>
      <c r="Y15" s="26">
        <f>AA15+AB15</f>
        <v>0</v>
      </c>
      <c r="Z15" s="777"/>
      <c r="AA15" s="777"/>
      <c r="AB15" s="560"/>
      <c r="AC15" s="26">
        <f t="shared" si="21"/>
        <v>0</v>
      </c>
      <c r="AD15" s="320"/>
      <c r="AE15" s="320"/>
      <c r="AF15" s="320"/>
      <c r="AG15" s="867">
        <f>AH15+AI15+AJ15</f>
        <v>0</v>
      </c>
      <c r="AH15" s="16"/>
      <c r="AI15" s="16"/>
      <c r="AJ15" s="16"/>
    </row>
    <row r="16" spans="1:36" ht="42" customHeight="1" x14ac:dyDescent="0.25">
      <c r="A16" s="763" t="s">
        <v>193</v>
      </c>
      <c r="B16" s="765" t="s">
        <v>385</v>
      </c>
      <c r="C16" s="765" t="s">
        <v>577</v>
      </c>
      <c r="D16" s="766"/>
      <c r="E16" s="767">
        <f t="shared" si="10"/>
        <v>1598.8600000000001</v>
      </c>
      <c r="F16" s="767"/>
      <c r="G16" s="767">
        <f t="shared" si="25"/>
        <v>0</v>
      </c>
      <c r="H16" s="767">
        <f>L16+P16+T16+X16+AB16+AF16+AJ16</f>
        <v>1598.8600000000001</v>
      </c>
      <c r="I16" s="1027">
        <f t="shared" si="12"/>
        <v>0</v>
      </c>
      <c r="J16" s="1027"/>
      <c r="K16" s="1027"/>
      <c r="L16" s="1027"/>
      <c r="M16" s="1034">
        <f t="shared" si="13"/>
        <v>181.97</v>
      </c>
      <c r="N16" s="1034"/>
      <c r="O16" s="1027"/>
      <c r="P16" s="1034">
        <f>P17</f>
        <v>181.97</v>
      </c>
      <c r="Q16" s="1027">
        <f t="shared" si="14"/>
        <v>187.9</v>
      </c>
      <c r="R16" s="1027"/>
      <c r="S16" s="1027"/>
      <c r="T16" s="1027">
        <v>187.9</v>
      </c>
      <c r="U16" s="767">
        <f t="shared" si="15"/>
        <v>28.99</v>
      </c>
      <c r="V16" s="767"/>
      <c r="W16" s="767"/>
      <c r="X16" s="767">
        <v>28.99</v>
      </c>
      <c r="Y16" s="767">
        <f>AA16+AB16</f>
        <v>400</v>
      </c>
      <c r="Z16" s="735"/>
      <c r="AA16" s="735"/>
      <c r="AB16" s="776">
        <v>400</v>
      </c>
      <c r="AC16" s="767">
        <f t="shared" si="21"/>
        <v>400</v>
      </c>
      <c r="AD16" s="735"/>
      <c r="AE16" s="735"/>
      <c r="AF16" s="776">
        <v>400</v>
      </c>
      <c r="AG16" s="776">
        <f>AH16+AI16+AJ16</f>
        <v>400</v>
      </c>
      <c r="AH16" s="735"/>
      <c r="AI16" s="735"/>
      <c r="AJ16" s="776">
        <v>400</v>
      </c>
    </row>
    <row r="17" spans="1:36" s="136" customFormat="1" ht="6" hidden="1" customHeight="1" x14ac:dyDescent="0.25">
      <c r="A17" s="19" t="s">
        <v>53</v>
      </c>
      <c r="B17" s="14" t="s">
        <v>386</v>
      </c>
      <c r="C17" s="14" t="s">
        <v>113</v>
      </c>
      <c r="D17" s="365"/>
      <c r="E17" s="24">
        <f t="shared" si="10"/>
        <v>181.97</v>
      </c>
      <c r="F17" s="24"/>
      <c r="G17" s="24">
        <f t="shared" si="25"/>
        <v>0</v>
      </c>
      <c r="H17" s="24">
        <f t="shared" si="26"/>
        <v>181.97</v>
      </c>
      <c r="I17" s="968">
        <f t="shared" si="12"/>
        <v>0</v>
      </c>
      <c r="J17" s="968"/>
      <c r="K17" s="968"/>
      <c r="L17" s="968"/>
      <c r="M17" s="989">
        <f t="shared" si="13"/>
        <v>181.97</v>
      </c>
      <c r="N17" s="968"/>
      <c r="O17" s="1035"/>
      <c r="P17" s="1035">
        <v>181.97</v>
      </c>
      <c r="Q17" s="968">
        <f t="shared" si="14"/>
        <v>0</v>
      </c>
      <c r="R17" s="968"/>
      <c r="S17" s="1035"/>
      <c r="T17" s="1035"/>
      <c r="U17" s="75">
        <f t="shared" si="15"/>
        <v>0</v>
      </c>
      <c r="V17" s="24"/>
      <c r="W17" s="366"/>
      <c r="X17" s="366"/>
      <c r="Y17" s="75">
        <f t="shared" ref="Y17:Y21" si="28">AA17+AB17</f>
        <v>0</v>
      </c>
      <c r="Z17" s="367"/>
      <c r="AA17" s="367"/>
      <c r="AB17" s="367"/>
      <c r="AC17" s="695">
        <f t="shared" si="21"/>
        <v>0</v>
      </c>
      <c r="AD17" s="459"/>
      <c r="AE17" s="459"/>
      <c r="AF17" s="459"/>
      <c r="AG17" s="459"/>
      <c r="AH17" s="459"/>
      <c r="AI17" s="459"/>
      <c r="AJ17" s="459"/>
    </row>
    <row r="18" spans="1:36" ht="73.900000000000006" customHeight="1" x14ac:dyDescent="0.25">
      <c r="A18" s="773" t="s">
        <v>194</v>
      </c>
      <c r="B18" s="774" t="s">
        <v>611</v>
      </c>
      <c r="C18" s="775" t="s">
        <v>474</v>
      </c>
      <c r="D18" s="735"/>
      <c r="E18" s="769">
        <f>F18+G18+H18</f>
        <v>4523.0410000000002</v>
      </c>
      <c r="F18" s="768"/>
      <c r="G18" s="767">
        <f t="shared" si="26"/>
        <v>0</v>
      </c>
      <c r="H18" s="767">
        <f t="shared" si="26"/>
        <v>4523.0410000000002</v>
      </c>
      <c r="I18" s="1028"/>
      <c r="J18" s="1028"/>
      <c r="K18" s="1028"/>
      <c r="L18" s="1036"/>
      <c r="M18" s="1036"/>
      <c r="N18" s="1036"/>
      <c r="O18" s="1036"/>
      <c r="P18" s="1036"/>
      <c r="Q18" s="1029">
        <f>R18+S18+T18</f>
        <v>205.041</v>
      </c>
      <c r="R18" s="1028"/>
      <c r="S18" s="1028"/>
      <c r="T18" s="1029">
        <v>205.041</v>
      </c>
      <c r="U18" s="767">
        <f t="shared" si="15"/>
        <v>1542</v>
      </c>
      <c r="V18" s="735"/>
      <c r="W18" s="735"/>
      <c r="X18" s="776">
        <f>1542</f>
        <v>1542</v>
      </c>
      <c r="Y18" s="767">
        <f t="shared" si="28"/>
        <v>1388</v>
      </c>
      <c r="Z18" s="735"/>
      <c r="AA18" s="735"/>
      <c r="AB18" s="776">
        <f>1388</f>
        <v>1388</v>
      </c>
      <c r="AC18" s="767">
        <f t="shared" si="21"/>
        <v>1388</v>
      </c>
      <c r="AD18" s="735"/>
      <c r="AE18" s="735"/>
      <c r="AF18" s="776">
        <v>1388</v>
      </c>
      <c r="AG18" s="776">
        <f>AH18+AI18+AJ18</f>
        <v>1388</v>
      </c>
      <c r="AH18" s="776"/>
      <c r="AI18" s="776"/>
      <c r="AJ18" s="776">
        <v>1388</v>
      </c>
    </row>
    <row r="19" spans="1:36" ht="57" customHeight="1" x14ac:dyDescent="0.25">
      <c r="A19" s="773" t="s">
        <v>196</v>
      </c>
      <c r="B19" s="774" t="s">
        <v>609</v>
      </c>
      <c r="C19" s="775" t="s">
        <v>330</v>
      </c>
      <c r="D19" s="735"/>
      <c r="E19" s="769">
        <f>F19+G19+H19</f>
        <v>137.57921999999999</v>
      </c>
      <c r="F19" s="768"/>
      <c r="G19" s="767">
        <f t="shared" si="26"/>
        <v>0</v>
      </c>
      <c r="H19" s="767">
        <f t="shared" si="26"/>
        <v>137.57921999999999</v>
      </c>
      <c r="I19" s="1028"/>
      <c r="J19" s="1028"/>
      <c r="K19" s="1028"/>
      <c r="L19" s="1036"/>
      <c r="M19" s="1036"/>
      <c r="N19" s="1036"/>
      <c r="O19" s="1036"/>
      <c r="P19" s="1036"/>
      <c r="Q19" s="1029"/>
      <c r="R19" s="1028"/>
      <c r="S19" s="1028"/>
      <c r="T19" s="1029"/>
      <c r="U19" s="767">
        <f t="shared" si="15"/>
        <v>137.57921999999999</v>
      </c>
      <c r="V19" s="735"/>
      <c r="W19" s="735"/>
      <c r="X19" s="776">
        <f>150-28.97+16.54922</f>
        <v>137.57921999999999</v>
      </c>
      <c r="Y19" s="767">
        <f t="shared" si="28"/>
        <v>0</v>
      </c>
      <c r="Z19" s="735"/>
      <c r="AA19" s="735"/>
      <c r="AB19" s="776"/>
      <c r="AC19" s="767">
        <f t="shared" si="21"/>
        <v>0</v>
      </c>
      <c r="AD19" s="735"/>
      <c r="AE19" s="735"/>
      <c r="AF19" s="776"/>
      <c r="AG19" s="776">
        <f t="shared" ref="AG19:AG21" si="29">AH19+AI19+AJ19</f>
        <v>0</v>
      </c>
      <c r="AH19" s="735"/>
      <c r="AI19" s="735"/>
      <c r="AJ19" s="735"/>
    </row>
    <row r="20" spans="1:36" ht="45" customHeight="1" x14ac:dyDescent="0.25">
      <c r="A20" s="773" t="s">
        <v>240</v>
      </c>
      <c r="B20" s="771" t="s">
        <v>610</v>
      </c>
      <c r="C20" s="735" t="s">
        <v>330</v>
      </c>
      <c r="D20" s="735"/>
      <c r="E20" s="769">
        <f t="shared" ref="E20:E21" si="30">F20+G20+H20</f>
        <v>1235.2674</v>
      </c>
      <c r="F20" s="735"/>
      <c r="G20" s="767">
        <f t="shared" si="26"/>
        <v>0</v>
      </c>
      <c r="H20" s="767">
        <f t="shared" si="26"/>
        <v>1235.2674</v>
      </c>
      <c r="I20" s="1028"/>
      <c r="J20" s="1028"/>
      <c r="K20" s="1028"/>
      <c r="L20" s="1036"/>
      <c r="M20" s="1036"/>
      <c r="N20" s="1036"/>
      <c r="O20" s="1036"/>
      <c r="P20" s="1036"/>
      <c r="Q20" s="1036"/>
      <c r="R20" s="1036"/>
      <c r="S20" s="1036"/>
      <c r="T20" s="1036"/>
      <c r="U20" s="767">
        <f t="shared" si="15"/>
        <v>1235.2674</v>
      </c>
      <c r="V20" s="735"/>
      <c r="W20" s="735"/>
      <c r="X20" s="1151">
        <v>1235.2674</v>
      </c>
      <c r="Y20" s="767">
        <f t="shared" si="28"/>
        <v>0</v>
      </c>
      <c r="Z20" s="735"/>
      <c r="AA20" s="735"/>
      <c r="AB20" s="735"/>
      <c r="AC20" s="767">
        <f t="shared" si="21"/>
        <v>0</v>
      </c>
      <c r="AD20" s="735"/>
      <c r="AE20" s="735"/>
      <c r="AF20" s="735"/>
      <c r="AG20" s="776">
        <f t="shared" si="29"/>
        <v>0</v>
      </c>
      <c r="AH20" s="735"/>
      <c r="AI20" s="735"/>
      <c r="AJ20" s="735"/>
    </row>
    <row r="21" spans="1:36" ht="45" customHeight="1" x14ac:dyDescent="0.25">
      <c r="A21" s="789" t="s">
        <v>466</v>
      </c>
      <c r="B21" s="878" t="s">
        <v>612</v>
      </c>
      <c r="C21" s="765" t="s">
        <v>575</v>
      </c>
      <c r="D21" s="735"/>
      <c r="E21" s="769">
        <f t="shared" si="30"/>
        <v>161.9</v>
      </c>
      <c r="F21" s="735"/>
      <c r="G21" s="767">
        <f t="shared" si="26"/>
        <v>0</v>
      </c>
      <c r="H21" s="767">
        <f t="shared" si="26"/>
        <v>161.9</v>
      </c>
      <c r="I21" s="1028"/>
      <c r="J21" s="1028"/>
      <c r="K21" s="1028"/>
      <c r="L21" s="1036"/>
      <c r="M21" s="1036"/>
      <c r="N21" s="1036"/>
      <c r="O21" s="1036"/>
      <c r="P21" s="1036"/>
      <c r="Q21" s="1036"/>
      <c r="R21" s="1036"/>
      <c r="S21" s="1036"/>
      <c r="T21" s="1036"/>
      <c r="U21" s="767">
        <f t="shared" si="15"/>
        <v>41.9</v>
      </c>
      <c r="V21" s="735"/>
      <c r="W21" s="735"/>
      <c r="X21" s="776">
        <v>41.9</v>
      </c>
      <c r="Y21" s="767">
        <f t="shared" si="28"/>
        <v>60</v>
      </c>
      <c r="Z21" s="735"/>
      <c r="AA21" s="735"/>
      <c r="AB21" s="776">
        <v>60</v>
      </c>
      <c r="AC21" s="767">
        <f t="shared" si="21"/>
        <v>60</v>
      </c>
      <c r="AD21" s="735"/>
      <c r="AE21" s="735"/>
      <c r="AF21" s="776">
        <v>60</v>
      </c>
      <c r="AG21" s="776">
        <f t="shared" si="29"/>
        <v>60</v>
      </c>
      <c r="AH21" s="735"/>
      <c r="AI21" s="735"/>
      <c r="AJ21" s="776">
        <v>60</v>
      </c>
    </row>
  </sheetData>
  <mergeCells count="12">
    <mergeCell ref="H1:X1"/>
    <mergeCell ref="B2:X2"/>
    <mergeCell ref="E4:H4"/>
    <mergeCell ref="I4:L4"/>
    <mergeCell ref="M4:P4"/>
    <mergeCell ref="Q4:T4"/>
    <mergeCell ref="U4:X4"/>
    <mergeCell ref="AG4:AJ4"/>
    <mergeCell ref="AC4:AF4"/>
    <mergeCell ref="Y4:AB4"/>
    <mergeCell ref="A14:A15"/>
    <mergeCell ref="B14:B15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78" zoomScaleSheetLayoutView="7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3" sqref="B23"/>
    </sheetView>
  </sheetViews>
  <sheetFormatPr defaultColWidth="8.85546875" defaultRowHeight="15" x14ac:dyDescent="0.25"/>
  <cols>
    <col min="1" max="1" width="7.5703125" style="390" customWidth="1"/>
    <col min="2" max="2" width="40.28515625" style="30" customWidth="1"/>
    <col min="3" max="3" width="13.140625" style="30" customWidth="1"/>
    <col min="4" max="4" width="9.7109375" style="30" hidden="1" customWidth="1"/>
    <col min="5" max="5" width="7.85546875" style="30" customWidth="1"/>
    <col min="6" max="6" width="6.42578125" style="30" customWidth="1"/>
    <col min="7" max="7" width="8.5703125" style="30" customWidth="1"/>
    <col min="8" max="8" width="10.85546875" style="352" customWidth="1"/>
    <col min="9" max="9" width="5.85546875" style="352" customWidth="1"/>
    <col min="10" max="10" width="5" style="352" customWidth="1"/>
    <col min="11" max="11" width="3.140625" style="352" customWidth="1"/>
    <col min="12" max="12" width="6.28515625" style="30" customWidth="1"/>
    <col min="13" max="14" width="5.5703125" style="30" customWidth="1"/>
    <col min="15" max="15" width="4.85546875" style="30" customWidth="1"/>
    <col min="16" max="16" width="5.140625" style="30" customWidth="1"/>
    <col min="17" max="17" width="6" style="30" customWidth="1"/>
    <col min="18" max="18" width="4.42578125" style="30" customWidth="1"/>
    <col min="19" max="19" width="4.85546875" style="30" customWidth="1"/>
    <col min="20" max="20" width="6.85546875" style="30" customWidth="1"/>
    <col min="21" max="21" width="6.7109375" style="30" customWidth="1"/>
    <col min="22" max="22" width="5.28515625" style="30" customWidth="1"/>
    <col min="23" max="23" width="5" style="30" customWidth="1"/>
    <col min="24" max="24" width="7.7109375" style="30" customWidth="1"/>
    <col min="25" max="25" width="6.7109375" style="30" customWidth="1"/>
    <col min="26" max="26" width="5.140625" style="30" customWidth="1"/>
    <col min="27" max="27" width="5.5703125" style="30" customWidth="1"/>
    <col min="28" max="28" width="6.140625" style="30" customWidth="1"/>
    <col min="29" max="16384" width="8.85546875" style="30"/>
  </cols>
  <sheetData>
    <row r="1" spans="1:36" ht="14.45" customHeight="1" x14ac:dyDescent="0.25">
      <c r="L1" s="389"/>
      <c r="M1" s="1183" t="s">
        <v>393</v>
      </c>
      <c r="N1" s="1183"/>
      <c r="O1" s="1193"/>
      <c r="P1" s="1193"/>
      <c r="Q1" s="1193"/>
      <c r="R1" s="1193"/>
      <c r="S1" s="1193"/>
      <c r="T1" s="1193"/>
      <c r="U1" s="1193"/>
      <c r="V1" s="1193"/>
      <c r="W1" s="1193"/>
      <c r="X1" s="1193"/>
    </row>
    <row r="2" spans="1:36" ht="18.75" x14ac:dyDescent="0.3">
      <c r="B2" s="1169" t="s">
        <v>394</v>
      </c>
      <c r="C2" s="1169"/>
      <c r="D2" s="1169"/>
      <c r="E2" s="1169"/>
      <c r="F2" s="1169"/>
      <c r="G2" s="1169"/>
      <c r="H2" s="1169"/>
      <c r="I2" s="1169"/>
      <c r="J2" s="1169"/>
      <c r="K2" s="1169"/>
      <c r="L2" s="1194"/>
      <c r="M2" s="1194"/>
      <c r="N2" s="391"/>
    </row>
    <row r="4" spans="1:36" ht="20.45" customHeight="1" x14ac:dyDescent="0.25">
      <c r="A4" s="17"/>
      <c r="B4" s="392" t="s">
        <v>0</v>
      </c>
      <c r="C4" s="355" t="s">
        <v>15</v>
      </c>
      <c r="D4" s="356"/>
      <c r="E4" s="1195" t="s">
        <v>159</v>
      </c>
      <c r="F4" s="1196"/>
      <c r="G4" s="1196"/>
      <c r="H4" s="1197"/>
      <c r="I4" s="1195">
        <v>2014</v>
      </c>
      <c r="J4" s="1196"/>
      <c r="K4" s="1196"/>
      <c r="L4" s="1197"/>
      <c r="M4" s="1178">
        <v>2015</v>
      </c>
      <c r="N4" s="1178"/>
      <c r="O4" s="1178"/>
      <c r="P4" s="1178"/>
      <c r="Q4" s="1178">
        <v>2016</v>
      </c>
      <c r="R4" s="1178"/>
      <c r="S4" s="1178"/>
      <c r="T4" s="1178"/>
      <c r="U4" s="1178">
        <v>2017</v>
      </c>
      <c r="V4" s="1178"/>
      <c r="W4" s="1178"/>
      <c r="X4" s="1178"/>
      <c r="Y4" s="1178">
        <v>2018</v>
      </c>
      <c r="Z4" s="1178"/>
      <c r="AA4" s="1178"/>
      <c r="AB4" s="1178"/>
      <c r="AC4" s="1178">
        <v>2019</v>
      </c>
      <c r="AD4" s="1178"/>
      <c r="AE4" s="1178"/>
      <c r="AF4" s="1178"/>
      <c r="AG4" s="1178">
        <v>2020</v>
      </c>
      <c r="AH4" s="1178"/>
      <c r="AI4" s="1178"/>
      <c r="AJ4" s="1178"/>
    </row>
    <row r="5" spans="1:36" ht="34.5" customHeight="1" x14ac:dyDescent="0.25">
      <c r="A5" s="1187"/>
      <c r="B5" s="1189" t="s">
        <v>395</v>
      </c>
      <c r="C5" s="1191"/>
      <c r="D5" s="393"/>
      <c r="E5" s="360" t="s">
        <v>148</v>
      </c>
      <c r="F5" s="361" t="s">
        <v>4</v>
      </c>
      <c r="G5" s="362" t="s">
        <v>3</v>
      </c>
      <c r="H5" s="363" t="s">
        <v>5</v>
      </c>
      <c r="I5" s="1024" t="s">
        <v>148</v>
      </c>
      <c r="J5" s="1025" t="s">
        <v>4</v>
      </c>
      <c r="K5" s="1025" t="s">
        <v>3</v>
      </c>
      <c r="L5" s="1026" t="s">
        <v>5</v>
      </c>
      <c r="M5" s="1026" t="s">
        <v>148</v>
      </c>
      <c r="N5" s="1026" t="s">
        <v>4</v>
      </c>
      <c r="O5" s="1026" t="s">
        <v>3</v>
      </c>
      <c r="P5" s="1026" t="s">
        <v>5</v>
      </c>
      <c r="Q5" s="1026" t="s">
        <v>148</v>
      </c>
      <c r="R5" s="1026" t="s">
        <v>4</v>
      </c>
      <c r="S5" s="1026" t="s">
        <v>3</v>
      </c>
      <c r="T5" s="1026" t="s">
        <v>5</v>
      </c>
      <c r="U5" s="364" t="s">
        <v>148</v>
      </c>
      <c r="V5" s="364" t="s">
        <v>4</v>
      </c>
      <c r="W5" s="364" t="s">
        <v>3</v>
      </c>
      <c r="X5" s="364" t="s">
        <v>5</v>
      </c>
      <c r="Y5" s="364" t="s">
        <v>148</v>
      </c>
      <c r="Z5" s="364" t="s">
        <v>4</v>
      </c>
      <c r="AA5" s="364" t="s">
        <v>3</v>
      </c>
      <c r="AB5" s="364" t="s">
        <v>5</v>
      </c>
      <c r="AC5" s="364" t="s">
        <v>148</v>
      </c>
      <c r="AD5" s="364" t="s">
        <v>4</v>
      </c>
      <c r="AE5" s="364" t="s">
        <v>3</v>
      </c>
      <c r="AF5" s="364" t="s">
        <v>5</v>
      </c>
      <c r="AG5" s="364" t="s">
        <v>148</v>
      </c>
      <c r="AH5" s="364" t="s">
        <v>4</v>
      </c>
      <c r="AI5" s="364" t="s">
        <v>3</v>
      </c>
      <c r="AJ5" s="364" t="s">
        <v>5</v>
      </c>
    </row>
    <row r="6" spans="1:36" ht="22.5" customHeight="1" x14ac:dyDescent="0.25">
      <c r="A6" s="1188"/>
      <c r="B6" s="1190"/>
      <c r="C6" s="1192"/>
      <c r="D6" s="393"/>
      <c r="E6" s="394">
        <f>F6+G6+H6</f>
        <v>1656.5</v>
      </c>
      <c r="F6" s="395"/>
      <c r="G6" s="396">
        <f>G7+G10</f>
        <v>0</v>
      </c>
      <c r="H6" s="396">
        <f>H7+H10</f>
        <v>1656.5</v>
      </c>
      <c r="I6" s="1045">
        <f>J6+K6+L6</f>
        <v>173.5</v>
      </c>
      <c r="J6" s="1046"/>
      <c r="K6" s="1047">
        <f>K7+K10</f>
        <v>0</v>
      </c>
      <c r="L6" s="1047">
        <f>L7+L10</f>
        <v>173.5</v>
      </c>
      <c r="M6" s="1045">
        <f>O6+P6</f>
        <v>124</v>
      </c>
      <c r="N6" s="1046"/>
      <c r="O6" s="1047">
        <f>O7+O10</f>
        <v>0</v>
      </c>
      <c r="P6" s="1047">
        <f>P7+P10</f>
        <v>124</v>
      </c>
      <c r="Q6" s="1045">
        <f>R6+S6+T6</f>
        <v>136</v>
      </c>
      <c r="R6" s="1046"/>
      <c r="S6" s="1047">
        <f>S7+S10</f>
        <v>0</v>
      </c>
      <c r="T6" s="1047">
        <f>T7+T10</f>
        <v>136</v>
      </c>
      <c r="U6" s="394">
        <f>W6+X6</f>
        <v>255</v>
      </c>
      <c r="V6" s="395"/>
      <c r="W6" s="396">
        <f>W7+W10</f>
        <v>0</v>
      </c>
      <c r="X6" s="396">
        <f>X7+X10</f>
        <v>255</v>
      </c>
      <c r="Y6" s="394">
        <f>AA6+AB6</f>
        <v>456</v>
      </c>
      <c r="Z6" s="395"/>
      <c r="AA6" s="396">
        <f>AA7+AA10</f>
        <v>0</v>
      </c>
      <c r="AB6" s="396">
        <f>AB7+AB10</f>
        <v>456</v>
      </c>
      <c r="AC6" s="394">
        <f>AE6+AF6</f>
        <v>256</v>
      </c>
      <c r="AD6" s="696">
        <f>AD7+AD10</f>
        <v>0</v>
      </c>
      <c r="AE6" s="696">
        <f>AE7+AE10</f>
        <v>0</v>
      </c>
      <c r="AF6" s="396">
        <f>AF7+AF10</f>
        <v>256</v>
      </c>
      <c r="AG6" s="1042">
        <f>AH6+AI6+AJ6</f>
        <v>256</v>
      </c>
      <c r="AH6" s="396">
        <f t="shared" ref="AH6:AI6" si="0">AH7+AH10</f>
        <v>0</v>
      </c>
      <c r="AI6" s="396">
        <f t="shared" si="0"/>
        <v>0</v>
      </c>
      <c r="AJ6" s="396">
        <f>AJ7+AJ10</f>
        <v>256</v>
      </c>
    </row>
    <row r="7" spans="1:36" ht="37.9" customHeight="1" x14ac:dyDescent="0.25">
      <c r="A7" s="763" t="s">
        <v>188</v>
      </c>
      <c r="B7" s="764" t="s">
        <v>396</v>
      </c>
      <c r="C7" s="780"/>
      <c r="D7" s="780"/>
      <c r="E7" s="781">
        <f>G7+H7</f>
        <v>378</v>
      </c>
      <c r="F7" s="781"/>
      <c r="G7" s="782">
        <f t="shared" ref="G7:Y8" si="1">G8</f>
        <v>0</v>
      </c>
      <c r="H7" s="781">
        <f t="shared" si="1"/>
        <v>378</v>
      </c>
      <c r="I7" s="1048">
        <f t="shared" si="1"/>
        <v>45</v>
      </c>
      <c r="J7" s="1048"/>
      <c r="K7" s="1048">
        <f t="shared" si="1"/>
        <v>0</v>
      </c>
      <c r="L7" s="1048">
        <f t="shared" si="1"/>
        <v>45</v>
      </c>
      <c r="M7" s="1048">
        <f t="shared" si="1"/>
        <v>59</v>
      </c>
      <c r="N7" s="1048"/>
      <c r="O7" s="1048">
        <f t="shared" si="1"/>
        <v>0</v>
      </c>
      <c r="P7" s="1048">
        <f t="shared" si="1"/>
        <v>59</v>
      </c>
      <c r="Q7" s="1048">
        <f t="shared" si="1"/>
        <v>39</v>
      </c>
      <c r="R7" s="1048"/>
      <c r="S7" s="1048">
        <f t="shared" si="1"/>
        <v>0</v>
      </c>
      <c r="T7" s="1048">
        <f t="shared" si="1"/>
        <v>39</v>
      </c>
      <c r="U7" s="781">
        <f t="shared" si="1"/>
        <v>58</v>
      </c>
      <c r="V7" s="781"/>
      <c r="W7" s="781">
        <f t="shared" si="1"/>
        <v>0</v>
      </c>
      <c r="X7" s="781">
        <f t="shared" si="1"/>
        <v>58</v>
      </c>
      <c r="Y7" s="781">
        <f t="shared" si="1"/>
        <v>59</v>
      </c>
      <c r="Z7" s="781"/>
      <c r="AA7" s="781">
        <f>AA8</f>
        <v>0</v>
      </c>
      <c r="AB7" s="781">
        <f>AB8</f>
        <v>59</v>
      </c>
      <c r="AC7" s="783">
        <f>AE7+AF7</f>
        <v>59</v>
      </c>
      <c r="AD7" s="781">
        <f t="shared" ref="AD7:AE7" si="2">AD8</f>
        <v>0</v>
      </c>
      <c r="AE7" s="781">
        <f t="shared" si="2"/>
        <v>0</v>
      </c>
      <c r="AF7" s="781">
        <f>AF8</f>
        <v>59</v>
      </c>
      <c r="AG7" s="790">
        <f>AH7+AI7+AJ7</f>
        <v>59</v>
      </c>
      <c r="AH7" s="781">
        <f t="shared" ref="AH7:AI7" si="3">AH8</f>
        <v>0</v>
      </c>
      <c r="AI7" s="781">
        <f t="shared" si="3"/>
        <v>0</v>
      </c>
      <c r="AJ7" s="781">
        <f>AJ8</f>
        <v>59</v>
      </c>
    </row>
    <row r="8" spans="1:36" ht="55.15" customHeight="1" x14ac:dyDescent="0.25">
      <c r="A8" s="397" t="s">
        <v>188</v>
      </c>
      <c r="B8" s="398" t="s">
        <v>397</v>
      </c>
      <c r="C8" s="71" t="s">
        <v>578</v>
      </c>
      <c r="D8" s="399"/>
      <c r="E8" s="400">
        <f>G8+H8+F8</f>
        <v>378</v>
      </c>
      <c r="F8" s="400">
        <f t="shared" ref="F8:G8" si="4">J8+N8+R8+V8+Z8+AD8+AH8</f>
        <v>0</v>
      </c>
      <c r="G8" s="400">
        <f t="shared" si="4"/>
        <v>0</v>
      </c>
      <c r="H8" s="400">
        <f>L8+P8+T8+X8+AB8+AF8+AJ8</f>
        <v>378</v>
      </c>
      <c r="I8" s="1049">
        <f>K8+L8</f>
        <v>45</v>
      </c>
      <c r="J8" s="1049"/>
      <c r="K8" s="1049"/>
      <c r="L8" s="1049">
        <f t="shared" si="1"/>
        <v>45</v>
      </c>
      <c r="M8" s="1049">
        <f>O8+P8</f>
        <v>59</v>
      </c>
      <c r="N8" s="1049"/>
      <c r="O8" s="1049"/>
      <c r="P8" s="1049">
        <f t="shared" si="1"/>
        <v>59</v>
      </c>
      <c r="Q8" s="1049">
        <f>S8+T8</f>
        <v>39</v>
      </c>
      <c r="R8" s="1049"/>
      <c r="S8" s="1049"/>
      <c r="T8" s="1049">
        <v>39</v>
      </c>
      <c r="U8" s="400">
        <f>W8+X8</f>
        <v>58</v>
      </c>
      <c r="V8" s="400"/>
      <c r="W8" s="400"/>
      <c r="X8" s="400">
        <f>43+15</f>
        <v>58</v>
      </c>
      <c r="Y8" s="400">
        <f>AA8+AB8</f>
        <v>59</v>
      </c>
      <c r="Z8" s="400"/>
      <c r="AA8" s="400"/>
      <c r="AB8" s="400">
        <f>AB9</f>
        <v>59</v>
      </c>
      <c r="AC8" s="785">
        <f t="shared" ref="AC8:AC31" si="5">AE8+AF8</f>
        <v>59</v>
      </c>
      <c r="AD8" s="718"/>
      <c r="AE8" s="718"/>
      <c r="AF8" s="400">
        <f>AF9</f>
        <v>59</v>
      </c>
      <c r="AG8" s="867">
        <f>AH8+AI8+AJ8</f>
        <v>59</v>
      </c>
      <c r="AH8" s="16"/>
      <c r="AI8" s="16"/>
      <c r="AJ8" s="867">
        <v>59</v>
      </c>
    </row>
    <row r="9" spans="1:36" s="408" customFormat="1" ht="54.6" hidden="1" customHeight="1" x14ac:dyDescent="0.25">
      <c r="A9" s="401" t="s">
        <v>6</v>
      </c>
      <c r="B9" s="402" t="s">
        <v>399</v>
      </c>
      <c r="C9" s="403"/>
      <c r="D9" s="404"/>
      <c r="E9" s="405">
        <f>G9+H9+F9</f>
        <v>340</v>
      </c>
      <c r="F9" s="405"/>
      <c r="G9" s="405">
        <f>K9+O9+S9+W9</f>
        <v>0</v>
      </c>
      <c r="H9" s="400">
        <f t="shared" ref="H9" si="6">L9+P9+T9+X9+AB9+AF9</f>
        <v>340</v>
      </c>
      <c r="I9" s="1050">
        <f>J9+K9+L9</f>
        <v>45</v>
      </c>
      <c r="J9" s="1050"/>
      <c r="K9" s="1050"/>
      <c r="L9" s="1050">
        <v>45</v>
      </c>
      <c r="M9" s="1050">
        <f>N9+O9+P9</f>
        <v>59</v>
      </c>
      <c r="N9" s="1050"/>
      <c r="O9" s="1051"/>
      <c r="P9" s="1052">
        <v>59</v>
      </c>
      <c r="Q9" s="1050">
        <f>R9+S9+T9</f>
        <v>59</v>
      </c>
      <c r="R9" s="1050"/>
      <c r="S9" s="1053"/>
      <c r="T9" s="1052">
        <v>59</v>
      </c>
      <c r="U9" s="400">
        <f>W9+X9</f>
        <v>59</v>
      </c>
      <c r="V9" s="405"/>
      <c r="W9" s="407"/>
      <c r="X9" s="717">
        <v>59</v>
      </c>
      <c r="Y9" s="405">
        <f>Z9+AA9+AB9</f>
        <v>59</v>
      </c>
      <c r="Z9" s="405"/>
      <c r="AA9" s="407"/>
      <c r="AB9" s="406">
        <v>59</v>
      </c>
      <c r="AC9" s="698">
        <f t="shared" si="5"/>
        <v>59</v>
      </c>
      <c r="AD9" s="697"/>
      <c r="AE9" s="697"/>
      <c r="AF9" s="406">
        <v>59</v>
      </c>
      <c r="AG9" s="1067"/>
      <c r="AH9" s="1067"/>
      <c r="AI9" s="1067"/>
      <c r="AJ9" s="1067"/>
    </row>
    <row r="10" spans="1:36" ht="29.25" customHeight="1" x14ac:dyDescent="0.25">
      <c r="A10" s="763" t="s">
        <v>13</v>
      </c>
      <c r="B10" s="764" t="s">
        <v>400</v>
      </c>
      <c r="C10" s="780"/>
      <c r="D10" s="780"/>
      <c r="E10" s="781">
        <f>F10+G10+H10</f>
        <v>1278.5</v>
      </c>
      <c r="F10" s="781">
        <f t="shared" ref="F10:G11" si="7">J10+N10+R10+V10+Z10+AD10+AH10</f>
        <v>0</v>
      </c>
      <c r="G10" s="781">
        <f t="shared" si="7"/>
        <v>0</v>
      </c>
      <c r="H10" s="781">
        <f>L10+P10+T10+X10+AB10+AF10+AJ10</f>
        <v>1278.5</v>
      </c>
      <c r="I10" s="1048">
        <f>K10+L10</f>
        <v>128.5</v>
      </c>
      <c r="J10" s="1048"/>
      <c r="K10" s="1054"/>
      <c r="L10" s="1048">
        <f>L11</f>
        <v>128.5</v>
      </c>
      <c r="M10" s="1048">
        <f>O10+P10</f>
        <v>65</v>
      </c>
      <c r="N10" s="1048"/>
      <c r="O10" s="1054"/>
      <c r="P10" s="1048">
        <f>P11</f>
        <v>65</v>
      </c>
      <c r="Q10" s="1048">
        <f>S10+T10</f>
        <v>97</v>
      </c>
      <c r="R10" s="1048"/>
      <c r="S10" s="1054"/>
      <c r="T10" s="1048">
        <f>T11</f>
        <v>97</v>
      </c>
      <c r="U10" s="781">
        <f>W10+X10</f>
        <v>197</v>
      </c>
      <c r="V10" s="781"/>
      <c r="W10" s="782"/>
      <c r="X10" s="781">
        <f>X11</f>
        <v>197</v>
      </c>
      <c r="Y10" s="781">
        <f>AA10+AB10</f>
        <v>397</v>
      </c>
      <c r="Z10" s="781"/>
      <c r="AA10" s="782"/>
      <c r="AB10" s="781">
        <f>AB16+AB17+AB18+AB19+AB20+AB21+AB22+AB23+AB30+AB31</f>
        <v>397</v>
      </c>
      <c r="AC10" s="783">
        <f t="shared" si="5"/>
        <v>197</v>
      </c>
      <c r="AD10" s="786"/>
      <c r="AE10" s="786"/>
      <c r="AF10" s="781">
        <f>AF16+AF17+AF18+AF19+AF20+AF21+AF22+AF23+AF30+AF31</f>
        <v>197</v>
      </c>
      <c r="AG10" s="789">
        <f>AH10+AI10+AJ10</f>
        <v>197</v>
      </c>
      <c r="AH10" s="789"/>
      <c r="AI10" s="789"/>
      <c r="AJ10" s="781">
        <f>AJ16+AJ17+AJ18+AJ19+AJ20+AJ21+AJ22+AJ23+AJ30+AJ31</f>
        <v>197</v>
      </c>
    </row>
    <row r="11" spans="1:36" ht="103.5" customHeight="1" x14ac:dyDescent="0.25">
      <c r="A11" s="19" t="s">
        <v>13</v>
      </c>
      <c r="B11" s="409" t="s">
        <v>401</v>
      </c>
      <c r="C11" s="410"/>
      <c r="D11" s="410"/>
      <c r="E11" s="411">
        <f>G11+H11+F11</f>
        <v>1278.5</v>
      </c>
      <c r="F11" s="400">
        <f t="shared" si="7"/>
        <v>0</v>
      </c>
      <c r="G11" s="400">
        <f t="shared" si="7"/>
        <v>0</v>
      </c>
      <c r="H11" s="400">
        <f>L11+P11+T11+X11+AB11+AF11+AJ11</f>
        <v>1278.5</v>
      </c>
      <c r="I11" s="1055">
        <f>K11+L11+J11</f>
        <v>128.5</v>
      </c>
      <c r="J11" s="1055"/>
      <c r="K11" s="1056"/>
      <c r="L11" s="1055">
        <f>L12</f>
        <v>128.5</v>
      </c>
      <c r="M11" s="1055">
        <f>O11+P11+N11</f>
        <v>65</v>
      </c>
      <c r="N11" s="1055"/>
      <c r="O11" s="1057"/>
      <c r="P11" s="1049">
        <f>P12</f>
        <v>65</v>
      </c>
      <c r="Q11" s="1049">
        <f>S11+T11+R11</f>
        <v>97</v>
      </c>
      <c r="R11" s="1049"/>
      <c r="S11" s="1057"/>
      <c r="T11" s="1049">
        <f>T12</f>
        <v>97</v>
      </c>
      <c r="U11" s="400">
        <f>W11+X11+V11</f>
        <v>197</v>
      </c>
      <c r="V11" s="400"/>
      <c r="W11" s="784"/>
      <c r="X11" s="400">
        <f>X16+X17+X19+X20+X22+X23+X30</f>
        <v>197</v>
      </c>
      <c r="Y11" s="400">
        <f>AA11+AB11+Z11</f>
        <v>397</v>
      </c>
      <c r="Z11" s="400"/>
      <c r="AA11" s="784"/>
      <c r="AB11" s="400">
        <f>AB12</f>
        <v>397</v>
      </c>
      <c r="AC11" s="785">
        <f t="shared" si="5"/>
        <v>197</v>
      </c>
      <c r="AD11" s="320"/>
      <c r="AE11" s="320"/>
      <c r="AF11" s="400">
        <f>AF12</f>
        <v>197</v>
      </c>
      <c r="AG11" s="867">
        <f>AH11+AI11+AJ11</f>
        <v>197</v>
      </c>
      <c r="AH11" s="16"/>
      <c r="AI11" s="16"/>
      <c r="AJ11" s="400">
        <f>AJ12</f>
        <v>197</v>
      </c>
    </row>
    <row r="12" spans="1:36" ht="37.5" hidden="1" customHeight="1" x14ac:dyDescent="0.25">
      <c r="A12" s="137" t="s">
        <v>14</v>
      </c>
      <c r="B12" s="370" t="s">
        <v>402</v>
      </c>
      <c r="C12" s="412" t="s">
        <v>398</v>
      </c>
      <c r="D12" s="371"/>
      <c r="E12" s="413">
        <f>G12+H12+F12</f>
        <v>1278.5</v>
      </c>
      <c r="F12" s="413"/>
      <c r="G12" s="413">
        <f>K12+O12+S12+W12</f>
        <v>0</v>
      </c>
      <c r="H12" s="400">
        <f t="shared" ref="H12:H31" si="8">L12+P12+T12+X12+AB12+AF12+AJ12</f>
        <v>1278.5</v>
      </c>
      <c r="I12" s="1058">
        <f>K12+L12+J12</f>
        <v>128.5</v>
      </c>
      <c r="J12" s="1058"/>
      <c r="K12" s="1058">
        <f>K16+K17+K18+K19+K20+K21+K22+K23+K29</f>
        <v>0</v>
      </c>
      <c r="L12" s="1058">
        <f>L16+L17+L18+L19+L20+L21+L22+L23+L29</f>
        <v>128.5</v>
      </c>
      <c r="M12" s="1058">
        <f>O12+P12+N12</f>
        <v>65</v>
      </c>
      <c r="N12" s="1058"/>
      <c r="O12" s="1049">
        <f>O16+O17+O18+O19+O20+O21+O22+O23+O29</f>
        <v>0</v>
      </c>
      <c r="P12" s="1049">
        <f>P16+P17+P18+P19+P20+P21+P22+P23+P29</f>
        <v>65</v>
      </c>
      <c r="Q12" s="1049">
        <f>S12+T12+R12</f>
        <v>97</v>
      </c>
      <c r="R12" s="1049"/>
      <c r="S12" s="1049">
        <f>S16+S17+S18+S19+S20+S21+S22+S23+S29</f>
        <v>0</v>
      </c>
      <c r="T12" s="1049">
        <f>T16+T17+T18+T19+T20+T21+T22+T23+T29</f>
        <v>97</v>
      </c>
      <c r="U12" s="400">
        <f>W12+X12+V12</f>
        <v>197</v>
      </c>
      <c r="V12" s="400"/>
      <c r="W12" s="400">
        <f>W16+W17+W18+W19+W20+W21+W22+W23+W29</f>
        <v>0</v>
      </c>
      <c r="X12" s="400">
        <f>X16+X17+X18+X19+X20+X21+X22+X23+X29+X30</f>
        <v>197</v>
      </c>
      <c r="Y12" s="400">
        <f>AA12+AB12+Z12</f>
        <v>397</v>
      </c>
      <c r="Z12" s="400"/>
      <c r="AA12" s="400">
        <f>AA16+AA17+AA18+AA19+AA20+AA21+AA22+AA23+AA29</f>
        <v>0</v>
      </c>
      <c r="AB12" s="400">
        <f>AB16+AB17+AB18+AB19+AB20+AB21+AB22+AB23+AB29+AB30+AB31</f>
        <v>397</v>
      </c>
      <c r="AC12" s="785">
        <f t="shared" si="5"/>
        <v>197</v>
      </c>
      <c r="AD12" s="320"/>
      <c r="AE12" s="320"/>
      <c r="AF12" s="400">
        <f>AF16+AF17+AF18+AF19+AF20+AF21+AF22+AF23+AF29+AF30+AF31</f>
        <v>197</v>
      </c>
      <c r="AG12" s="867">
        <f>AH12+AI12+AJ12</f>
        <v>197</v>
      </c>
      <c r="AH12" s="16"/>
      <c r="AI12" s="16"/>
      <c r="AJ12" s="400">
        <f>AJ16+AJ17+AJ18+AJ19+AJ20+AJ21+AJ22+AJ23+AJ29+AJ30+AJ31</f>
        <v>197</v>
      </c>
    </row>
    <row r="13" spans="1:36" ht="11.25" hidden="1" customHeight="1" x14ac:dyDescent="0.25">
      <c r="A13" s="17"/>
      <c r="B13" s="414" t="s">
        <v>403</v>
      </c>
      <c r="C13" s="415"/>
      <c r="D13" s="414"/>
      <c r="E13" s="414"/>
      <c r="F13" s="414"/>
      <c r="G13" s="416"/>
      <c r="H13" s="400">
        <f t="shared" si="8"/>
        <v>0</v>
      </c>
      <c r="I13" s="1055"/>
      <c r="J13" s="1055"/>
      <c r="K13" s="1055"/>
      <c r="L13" s="1055"/>
      <c r="M13" s="1059"/>
      <c r="N13" s="1059"/>
      <c r="O13" s="1060"/>
      <c r="P13" s="1060"/>
      <c r="Q13" s="1060"/>
      <c r="R13" s="1060"/>
      <c r="S13" s="1060"/>
      <c r="T13" s="1060"/>
      <c r="U13" s="320"/>
      <c r="V13" s="320"/>
      <c r="W13" s="320"/>
      <c r="X13" s="320"/>
      <c r="Y13" s="320"/>
      <c r="Z13" s="320"/>
      <c r="AA13" s="320"/>
      <c r="AB13" s="320"/>
      <c r="AC13" s="785">
        <f t="shared" si="5"/>
        <v>0</v>
      </c>
      <c r="AD13" s="320"/>
      <c r="AE13" s="320"/>
      <c r="AF13" s="320"/>
      <c r="AG13" s="16"/>
      <c r="AH13" s="16"/>
      <c r="AI13" s="16"/>
      <c r="AJ13" s="16"/>
    </row>
    <row r="14" spans="1:36" ht="11.25" hidden="1" customHeight="1" x14ac:dyDescent="0.25">
      <c r="A14" s="17"/>
      <c r="B14" s="414" t="s">
        <v>404</v>
      </c>
      <c r="C14" s="415"/>
      <c r="D14" s="414"/>
      <c r="E14" s="414"/>
      <c r="F14" s="414"/>
      <c r="G14" s="416"/>
      <c r="H14" s="400">
        <f t="shared" si="8"/>
        <v>0</v>
      </c>
      <c r="I14" s="1055"/>
      <c r="J14" s="1055"/>
      <c r="K14" s="1055"/>
      <c r="L14" s="1055"/>
      <c r="M14" s="1059"/>
      <c r="N14" s="1059"/>
      <c r="O14" s="1060"/>
      <c r="P14" s="1060"/>
      <c r="Q14" s="1060"/>
      <c r="R14" s="1060"/>
      <c r="S14" s="1060"/>
      <c r="T14" s="1060"/>
      <c r="U14" s="320"/>
      <c r="V14" s="320"/>
      <c r="W14" s="320"/>
      <c r="X14" s="320"/>
      <c r="Y14" s="320"/>
      <c r="Z14" s="320"/>
      <c r="AA14" s="320"/>
      <c r="AB14" s="320"/>
      <c r="AC14" s="785">
        <f t="shared" si="5"/>
        <v>0</v>
      </c>
      <c r="AD14" s="320"/>
      <c r="AE14" s="320"/>
      <c r="AF14" s="320"/>
      <c r="AG14" s="16"/>
      <c r="AH14" s="16"/>
      <c r="AI14" s="16"/>
      <c r="AJ14" s="16"/>
    </row>
    <row r="15" spans="1:36" ht="12.75" hidden="1" customHeight="1" x14ac:dyDescent="0.25">
      <c r="A15" s="17"/>
      <c r="B15" s="414" t="s">
        <v>405</v>
      </c>
      <c r="C15" s="415"/>
      <c r="D15" s="414"/>
      <c r="E15" s="414"/>
      <c r="F15" s="414"/>
      <c r="G15" s="416"/>
      <c r="H15" s="400">
        <f t="shared" si="8"/>
        <v>0</v>
      </c>
      <c r="I15" s="1055"/>
      <c r="J15" s="1055"/>
      <c r="K15" s="1055"/>
      <c r="L15" s="1055"/>
      <c r="M15" s="1059"/>
      <c r="N15" s="1059"/>
      <c r="O15" s="1060"/>
      <c r="P15" s="1060"/>
      <c r="Q15" s="1060"/>
      <c r="R15" s="1060"/>
      <c r="S15" s="1060"/>
      <c r="T15" s="1060"/>
      <c r="U15" s="320"/>
      <c r="V15" s="320"/>
      <c r="W15" s="320"/>
      <c r="X15" s="320"/>
      <c r="Y15" s="320"/>
      <c r="Z15" s="320"/>
      <c r="AA15" s="320"/>
      <c r="AB15" s="320"/>
      <c r="AC15" s="785">
        <f t="shared" si="5"/>
        <v>0</v>
      </c>
      <c r="AD15" s="320"/>
      <c r="AE15" s="320"/>
      <c r="AF15" s="320"/>
      <c r="AG15" s="16"/>
      <c r="AH15" s="16"/>
      <c r="AI15" s="16"/>
      <c r="AJ15" s="16"/>
    </row>
    <row r="16" spans="1:36" ht="42" customHeight="1" x14ac:dyDescent="0.25">
      <c r="A16" s="17"/>
      <c r="B16" s="417" t="s">
        <v>406</v>
      </c>
      <c r="C16" s="415" t="s">
        <v>579</v>
      </c>
      <c r="D16" s="418">
        <v>7950043</v>
      </c>
      <c r="E16" s="400">
        <f t="shared" ref="E16:E23" si="9">G16+H16</f>
        <v>70</v>
      </c>
      <c r="F16" s="400">
        <f t="shared" ref="F16" si="10">J16+N16+R16+V16+Z16+AD16+AH16</f>
        <v>0</v>
      </c>
      <c r="G16" s="400">
        <f t="shared" ref="G16" si="11">K16+O16+S16+W16+AA16+AE16+AI16</f>
        <v>0</v>
      </c>
      <c r="H16" s="400">
        <f t="shared" si="8"/>
        <v>70</v>
      </c>
      <c r="I16" s="1049">
        <f t="shared" ref="I16:I23" si="12">K16+L16</f>
        <v>10</v>
      </c>
      <c r="J16" s="1049"/>
      <c r="K16" s="1061"/>
      <c r="L16" s="1061">
        <v>10</v>
      </c>
      <c r="M16" s="1049">
        <f t="shared" ref="M16:M23" si="13">O16+P16</f>
        <v>10</v>
      </c>
      <c r="N16" s="1049"/>
      <c r="O16" s="1060"/>
      <c r="P16" s="1033">
        <v>10</v>
      </c>
      <c r="Q16" s="1049">
        <f t="shared" ref="Q16:Q23" si="14">S16+T16</f>
        <v>10</v>
      </c>
      <c r="R16" s="1049"/>
      <c r="S16" s="1062"/>
      <c r="T16" s="1033">
        <v>10</v>
      </c>
      <c r="U16" s="400">
        <f t="shared" ref="U16:U23" si="15">W16+X16</f>
        <v>10</v>
      </c>
      <c r="V16" s="400"/>
      <c r="W16" s="693"/>
      <c r="X16" s="716">
        <v>10</v>
      </c>
      <c r="Y16" s="400">
        <f t="shared" ref="Y16:Y23" si="16">AA16+AB16</f>
        <v>10</v>
      </c>
      <c r="Z16" s="400"/>
      <c r="AA16" s="693"/>
      <c r="AB16" s="716">
        <v>10</v>
      </c>
      <c r="AC16" s="785">
        <f t="shared" si="5"/>
        <v>10</v>
      </c>
      <c r="AD16" s="320"/>
      <c r="AE16" s="320"/>
      <c r="AF16" s="716">
        <v>10</v>
      </c>
      <c r="AG16" s="867">
        <f>AH16+AI16+AJ16</f>
        <v>10</v>
      </c>
      <c r="AH16" s="867"/>
      <c r="AI16" s="867"/>
      <c r="AJ16" s="867">
        <v>10</v>
      </c>
    </row>
    <row r="17" spans="1:36" ht="42" customHeight="1" x14ac:dyDescent="0.25">
      <c r="A17" s="17"/>
      <c r="B17" s="417" t="s">
        <v>407</v>
      </c>
      <c r="C17" s="415" t="s">
        <v>580</v>
      </c>
      <c r="D17" s="418">
        <v>7950043</v>
      </c>
      <c r="E17" s="400">
        <f t="shared" si="9"/>
        <v>370</v>
      </c>
      <c r="F17" s="400">
        <f t="shared" ref="F17" si="17">J17+N17+R17+V17+Z17+AD17+AH17</f>
        <v>0</v>
      </c>
      <c r="G17" s="400">
        <f t="shared" ref="G17" si="18">K17+O17+S17+W17+AA17+AE17+AI17</f>
        <v>0</v>
      </c>
      <c r="H17" s="400">
        <f t="shared" si="8"/>
        <v>370</v>
      </c>
      <c r="I17" s="1049">
        <f t="shared" si="12"/>
        <v>50</v>
      </c>
      <c r="J17" s="1049"/>
      <c r="K17" s="1061"/>
      <c r="L17" s="1061">
        <v>50</v>
      </c>
      <c r="M17" s="1049">
        <f t="shared" si="13"/>
        <v>50</v>
      </c>
      <c r="N17" s="1049"/>
      <c r="O17" s="1060"/>
      <c r="P17" s="1033">
        <v>50</v>
      </c>
      <c r="Q17" s="1049">
        <f t="shared" si="14"/>
        <v>50</v>
      </c>
      <c r="R17" s="1049"/>
      <c r="S17" s="1062"/>
      <c r="T17" s="1033">
        <v>50</v>
      </c>
      <c r="U17" s="400">
        <f t="shared" si="15"/>
        <v>50</v>
      </c>
      <c r="V17" s="400"/>
      <c r="W17" s="693"/>
      <c r="X17" s="716">
        <v>50</v>
      </c>
      <c r="Y17" s="400">
        <f t="shared" si="16"/>
        <v>70</v>
      </c>
      <c r="Z17" s="400"/>
      <c r="AA17" s="693"/>
      <c r="AB17" s="716">
        <v>70</v>
      </c>
      <c r="AC17" s="785">
        <f t="shared" si="5"/>
        <v>50</v>
      </c>
      <c r="AD17" s="320"/>
      <c r="AE17" s="320"/>
      <c r="AF17" s="716">
        <v>50</v>
      </c>
      <c r="AG17" s="867">
        <f t="shared" ref="AG17:AG31" si="19">AH17+AI17+AJ17</f>
        <v>50</v>
      </c>
      <c r="AH17" s="867"/>
      <c r="AI17" s="867"/>
      <c r="AJ17" s="867">
        <v>50</v>
      </c>
    </row>
    <row r="18" spans="1:36" ht="51" x14ac:dyDescent="0.25">
      <c r="A18" s="17"/>
      <c r="B18" s="417" t="s">
        <v>408</v>
      </c>
      <c r="C18" s="415" t="s">
        <v>581</v>
      </c>
      <c r="D18" s="418">
        <v>7950043</v>
      </c>
      <c r="E18" s="400">
        <f t="shared" si="9"/>
        <v>1.5</v>
      </c>
      <c r="F18" s="400">
        <f t="shared" ref="F18" si="20">J18+N18+R18+V18+Z18+AD18+AH18</f>
        <v>0</v>
      </c>
      <c r="G18" s="400">
        <f t="shared" ref="G18" si="21">K18+O18+S18+W18+AA18+AE18+AI18</f>
        <v>0</v>
      </c>
      <c r="H18" s="400">
        <f t="shared" si="8"/>
        <v>1.5</v>
      </c>
      <c r="I18" s="1049">
        <f t="shared" si="12"/>
        <v>1.5</v>
      </c>
      <c r="J18" s="1049"/>
      <c r="K18" s="1061"/>
      <c r="L18" s="1061">
        <v>1.5</v>
      </c>
      <c r="M18" s="1049">
        <f t="shared" si="13"/>
        <v>0</v>
      </c>
      <c r="N18" s="1049"/>
      <c r="O18" s="1060"/>
      <c r="P18" s="1060"/>
      <c r="Q18" s="1049">
        <f t="shared" si="14"/>
        <v>0</v>
      </c>
      <c r="R18" s="1049"/>
      <c r="S18" s="1060"/>
      <c r="T18" s="1060"/>
      <c r="U18" s="400">
        <f t="shared" si="15"/>
        <v>0</v>
      </c>
      <c r="V18" s="400"/>
      <c r="W18" s="320"/>
      <c r="X18" s="320"/>
      <c r="Y18" s="400">
        <f t="shared" si="16"/>
        <v>0</v>
      </c>
      <c r="Z18" s="400"/>
      <c r="AA18" s="320"/>
      <c r="AB18" s="320"/>
      <c r="AC18" s="785">
        <f t="shared" si="5"/>
        <v>0</v>
      </c>
      <c r="AD18" s="320"/>
      <c r="AE18" s="320"/>
      <c r="AF18" s="320"/>
      <c r="AG18" s="867">
        <f t="shared" si="19"/>
        <v>0</v>
      </c>
      <c r="AH18" s="867"/>
      <c r="AI18" s="867"/>
      <c r="AJ18" s="867"/>
    </row>
    <row r="19" spans="1:36" ht="25.5" x14ac:dyDescent="0.25">
      <c r="A19" s="17"/>
      <c r="B19" s="417" t="s">
        <v>409</v>
      </c>
      <c r="C19" s="415" t="s">
        <v>581</v>
      </c>
      <c r="D19" s="418">
        <v>7950043</v>
      </c>
      <c r="E19" s="400">
        <f t="shared" si="9"/>
        <v>12</v>
      </c>
      <c r="F19" s="400">
        <f t="shared" ref="F19" si="22">J19+N19+R19+V19+Z19+AD19+AH19</f>
        <v>0</v>
      </c>
      <c r="G19" s="400">
        <f t="shared" ref="G19" si="23">K19+O19+S19+W19+AA19+AE19+AI19</f>
        <v>0</v>
      </c>
      <c r="H19" s="400">
        <f t="shared" si="8"/>
        <v>12</v>
      </c>
      <c r="I19" s="1049">
        <f t="shared" si="12"/>
        <v>2</v>
      </c>
      <c r="J19" s="1049"/>
      <c r="K19" s="1061"/>
      <c r="L19" s="1061">
        <v>2</v>
      </c>
      <c r="M19" s="1049">
        <f t="shared" si="13"/>
        <v>0</v>
      </c>
      <c r="N19" s="1049"/>
      <c r="O19" s="1060"/>
      <c r="P19" s="1031"/>
      <c r="Q19" s="1049">
        <f t="shared" si="14"/>
        <v>2</v>
      </c>
      <c r="R19" s="1049"/>
      <c r="S19" s="1060"/>
      <c r="T19" s="1033">
        <v>2</v>
      </c>
      <c r="U19" s="400">
        <f t="shared" si="15"/>
        <v>2</v>
      </c>
      <c r="V19" s="400"/>
      <c r="W19" s="320"/>
      <c r="X19" s="716">
        <v>2</v>
      </c>
      <c r="Y19" s="400">
        <f t="shared" si="16"/>
        <v>2</v>
      </c>
      <c r="Z19" s="400"/>
      <c r="AA19" s="320"/>
      <c r="AB19" s="716">
        <v>2</v>
      </c>
      <c r="AC19" s="785">
        <f t="shared" si="5"/>
        <v>2</v>
      </c>
      <c r="AD19" s="320"/>
      <c r="AE19" s="320"/>
      <c r="AF19" s="716">
        <v>2</v>
      </c>
      <c r="AG19" s="867">
        <f t="shared" si="19"/>
        <v>2</v>
      </c>
      <c r="AH19" s="867"/>
      <c r="AI19" s="867"/>
      <c r="AJ19" s="867">
        <v>2</v>
      </c>
    </row>
    <row r="20" spans="1:36" ht="89.25" x14ac:dyDescent="0.25">
      <c r="A20" s="17"/>
      <c r="B20" s="417" t="s">
        <v>410</v>
      </c>
      <c r="C20" s="415" t="s">
        <v>581</v>
      </c>
      <c r="D20" s="418">
        <v>7950043</v>
      </c>
      <c r="E20" s="400">
        <f t="shared" si="9"/>
        <v>120</v>
      </c>
      <c r="F20" s="400">
        <f t="shared" ref="F20" si="24">J20+N20+R20+V20+Z20+AD20+AH20</f>
        <v>0</v>
      </c>
      <c r="G20" s="400">
        <f t="shared" ref="G20" si="25">K20+O20+S20+W20+AA20+AE20+AI20</f>
        <v>0</v>
      </c>
      <c r="H20" s="400">
        <f t="shared" si="8"/>
        <v>120</v>
      </c>
      <c r="I20" s="1049">
        <f t="shared" si="12"/>
        <v>20</v>
      </c>
      <c r="J20" s="1049"/>
      <c r="K20" s="1061"/>
      <c r="L20" s="1061">
        <v>20</v>
      </c>
      <c r="M20" s="1049">
        <f t="shared" si="13"/>
        <v>0</v>
      </c>
      <c r="N20" s="1049"/>
      <c r="O20" s="1060"/>
      <c r="P20" s="1033"/>
      <c r="Q20" s="1049">
        <f t="shared" si="14"/>
        <v>20</v>
      </c>
      <c r="R20" s="1049"/>
      <c r="S20" s="1062"/>
      <c r="T20" s="1033">
        <v>20</v>
      </c>
      <c r="U20" s="400">
        <f t="shared" si="15"/>
        <v>20</v>
      </c>
      <c r="V20" s="400"/>
      <c r="W20" s="693"/>
      <c r="X20" s="716">
        <v>20</v>
      </c>
      <c r="Y20" s="400">
        <f t="shared" si="16"/>
        <v>20</v>
      </c>
      <c r="Z20" s="400"/>
      <c r="AA20" s="693"/>
      <c r="AB20" s="716">
        <v>20</v>
      </c>
      <c r="AC20" s="785">
        <f t="shared" si="5"/>
        <v>20</v>
      </c>
      <c r="AD20" s="320"/>
      <c r="AE20" s="320"/>
      <c r="AF20" s="716">
        <v>20</v>
      </c>
      <c r="AG20" s="867">
        <f t="shared" si="19"/>
        <v>20</v>
      </c>
      <c r="AH20" s="867"/>
      <c r="AI20" s="867"/>
      <c r="AJ20" s="867">
        <v>20</v>
      </c>
    </row>
    <row r="21" spans="1:36" ht="51" x14ac:dyDescent="0.25">
      <c r="A21" s="17"/>
      <c r="B21" s="417" t="s">
        <v>411</v>
      </c>
      <c r="C21" s="415" t="s">
        <v>579</v>
      </c>
      <c r="D21" s="418">
        <v>7950043</v>
      </c>
      <c r="E21" s="400">
        <f t="shared" si="9"/>
        <v>5</v>
      </c>
      <c r="F21" s="400">
        <f t="shared" ref="F21" si="26">J21+N21+R21+V21+Z21+AD21+AH21</f>
        <v>0</v>
      </c>
      <c r="G21" s="400">
        <f t="shared" ref="G21" si="27">K21+O21+S21+W21+AA21+AE21+AI21</f>
        <v>0</v>
      </c>
      <c r="H21" s="400">
        <f t="shared" si="8"/>
        <v>5</v>
      </c>
      <c r="I21" s="1049">
        <f t="shared" si="12"/>
        <v>5</v>
      </c>
      <c r="J21" s="1049"/>
      <c r="K21" s="1061"/>
      <c r="L21" s="1061">
        <v>5</v>
      </c>
      <c r="M21" s="1049">
        <f t="shared" si="13"/>
        <v>0</v>
      </c>
      <c r="N21" s="1049"/>
      <c r="O21" s="1060"/>
      <c r="P21" s="1033"/>
      <c r="Q21" s="1049">
        <f t="shared" si="14"/>
        <v>0</v>
      </c>
      <c r="R21" s="1049"/>
      <c r="S21" s="1062"/>
      <c r="T21" s="1033"/>
      <c r="U21" s="400">
        <f t="shared" si="15"/>
        <v>0</v>
      </c>
      <c r="V21" s="400"/>
      <c r="W21" s="693"/>
      <c r="X21" s="716"/>
      <c r="Y21" s="400">
        <f t="shared" si="16"/>
        <v>0</v>
      </c>
      <c r="Z21" s="400"/>
      <c r="AA21" s="693"/>
      <c r="AB21" s="716"/>
      <c r="AC21" s="785">
        <f t="shared" si="5"/>
        <v>0</v>
      </c>
      <c r="AD21" s="320"/>
      <c r="AE21" s="320"/>
      <c r="AF21" s="716"/>
      <c r="AG21" s="867">
        <f t="shared" si="19"/>
        <v>0</v>
      </c>
      <c r="AH21" s="867"/>
      <c r="AI21" s="867"/>
      <c r="AJ21" s="867"/>
    </row>
    <row r="22" spans="1:36" ht="41.45" customHeight="1" x14ac:dyDescent="0.25">
      <c r="A22" s="17"/>
      <c r="B22" s="417" t="s">
        <v>412</v>
      </c>
      <c r="C22" s="415" t="s">
        <v>579</v>
      </c>
      <c r="D22" s="418">
        <v>7950043</v>
      </c>
      <c r="E22" s="400">
        <f t="shared" si="9"/>
        <v>60</v>
      </c>
      <c r="F22" s="400">
        <f t="shared" ref="F22" si="28">J22+N22+R22+V22+Z22+AD22+AH22</f>
        <v>0</v>
      </c>
      <c r="G22" s="400">
        <f t="shared" ref="G22" si="29">K22+O22+S22+W22+AA22+AE22+AI22</f>
        <v>0</v>
      </c>
      <c r="H22" s="400">
        <f t="shared" si="8"/>
        <v>60</v>
      </c>
      <c r="I22" s="1049">
        <f t="shared" si="12"/>
        <v>10</v>
      </c>
      <c r="J22" s="1049"/>
      <c r="K22" s="1061"/>
      <c r="L22" s="1061">
        <v>10</v>
      </c>
      <c r="M22" s="1049">
        <f t="shared" si="13"/>
        <v>0</v>
      </c>
      <c r="N22" s="1049"/>
      <c r="O22" s="1060"/>
      <c r="P22" s="1033"/>
      <c r="Q22" s="1049">
        <f t="shared" si="14"/>
        <v>10</v>
      </c>
      <c r="R22" s="1049"/>
      <c r="S22" s="1062"/>
      <c r="T22" s="1033">
        <v>10</v>
      </c>
      <c r="U22" s="400">
        <f t="shared" si="15"/>
        <v>10</v>
      </c>
      <c r="V22" s="400"/>
      <c r="W22" s="693"/>
      <c r="X22" s="716">
        <v>10</v>
      </c>
      <c r="Y22" s="400">
        <f t="shared" si="16"/>
        <v>10</v>
      </c>
      <c r="Z22" s="400"/>
      <c r="AA22" s="693"/>
      <c r="AB22" s="716">
        <v>10</v>
      </c>
      <c r="AC22" s="785">
        <f t="shared" si="5"/>
        <v>10</v>
      </c>
      <c r="AD22" s="320"/>
      <c r="AE22" s="320"/>
      <c r="AF22" s="716">
        <v>10</v>
      </c>
      <c r="AG22" s="867">
        <f t="shared" si="19"/>
        <v>10</v>
      </c>
      <c r="AH22" s="867"/>
      <c r="AI22" s="867"/>
      <c r="AJ22" s="867">
        <v>10</v>
      </c>
    </row>
    <row r="23" spans="1:36" ht="65.45" customHeight="1" x14ac:dyDescent="0.25">
      <c r="A23" s="17"/>
      <c r="B23" s="417" t="s">
        <v>413</v>
      </c>
      <c r="C23" s="419" t="s">
        <v>582</v>
      </c>
      <c r="D23" s="420"/>
      <c r="E23" s="400">
        <f t="shared" si="9"/>
        <v>35</v>
      </c>
      <c r="F23" s="400">
        <f t="shared" ref="F23" si="30">J23+N23+R23+V23+Z23+AD23+AH23</f>
        <v>0</v>
      </c>
      <c r="G23" s="400">
        <f t="shared" ref="G23" si="31">K23+O23+S23+W23+AA23+AE23+AI23</f>
        <v>0</v>
      </c>
      <c r="H23" s="400">
        <f t="shared" si="8"/>
        <v>35</v>
      </c>
      <c r="I23" s="1049">
        <f t="shared" si="12"/>
        <v>0</v>
      </c>
      <c r="J23" s="1049"/>
      <c r="K23" s="1063"/>
      <c r="L23" s="1063"/>
      <c r="M23" s="1049">
        <f t="shared" si="13"/>
        <v>5</v>
      </c>
      <c r="N23" s="1049"/>
      <c r="O23" s="1031"/>
      <c r="P23" s="1033">
        <v>5</v>
      </c>
      <c r="Q23" s="1049">
        <f t="shared" si="14"/>
        <v>5</v>
      </c>
      <c r="R23" s="1049"/>
      <c r="S23" s="1031"/>
      <c r="T23" s="1033">
        <v>5</v>
      </c>
      <c r="U23" s="400">
        <f t="shared" si="15"/>
        <v>5</v>
      </c>
      <c r="V23" s="400"/>
      <c r="W23" s="560"/>
      <c r="X23" s="716">
        <v>5</v>
      </c>
      <c r="Y23" s="400">
        <f t="shared" si="16"/>
        <v>10</v>
      </c>
      <c r="Z23" s="400"/>
      <c r="AA23" s="560"/>
      <c r="AB23" s="716">
        <v>10</v>
      </c>
      <c r="AC23" s="785">
        <f t="shared" si="5"/>
        <v>5</v>
      </c>
      <c r="AD23" s="320"/>
      <c r="AE23" s="320"/>
      <c r="AF23" s="716">
        <v>5</v>
      </c>
      <c r="AG23" s="867">
        <f t="shared" si="19"/>
        <v>5</v>
      </c>
      <c r="AH23" s="867"/>
      <c r="AI23" s="867"/>
      <c r="AJ23" s="867">
        <v>5</v>
      </c>
    </row>
    <row r="24" spans="1:36" ht="0.75" hidden="1" customHeight="1" x14ac:dyDescent="0.25">
      <c r="A24" s="17"/>
      <c r="B24" s="417" t="s">
        <v>414</v>
      </c>
      <c r="C24" s="419"/>
      <c r="D24" s="31"/>
      <c r="E24" s="421" t="s">
        <v>415</v>
      </c>
      <c r="F24" s="421"/>
      <c r="G24" s="400">
        <f t="shared" ref="G24:G28" si="32">K24+O24+S24+W24+Z24</f>
        <v>0</v>
      </c>
      <c r="H24" s="400">
        <f t="shared" si="8"/>
        <v>0</v>
      </c>
      <c r="I24" s="1063"/>
      <c r="J24" s="1063"/>
      <c r="K24" s="1063"/>
      <c r="L24" s="1063"/>
      <c r="M24" s="1064"/>
      <c r="N24" s="1064"/>
      <c r="O24" s="1031"/>
      <c r="P24" s="1031"/>
      <c r="Q24" s="1031"/>
      <c r="R24" s="1031"/>
      <c r="S24" s="1031"/>
      <c r="T24" s="1031"/>
      <c r="U24" s="560"/>
      <c r="V24" s="560"/>
      <c r="W24" s="560"/>
      <c r="X24" s="560"/>
      <c r="Y24" s="560"/>
      <c r="Z24" s="560"/>
      <c r="AA24" s="560"/>
      <c r="AB24" s="560"/>
      <c r="AC24" s="785">
        <f t="shared" si="5"/>
        <v>0</v>
      </c>
      <c r="AD24" s="320"/>
      <c r="AE24" s="320"/>
      <c r="AF24" s="560"/>
      <c r="AG24" s="16">
        <f t="shared" si="19"/>
        <v>0</v>
      </c>
      <c r="AH24" s="16"/>
      <c r="AI24" s="16"/>
      <c r="AJ24" s="16"/>
    </row>
    <row r="25" spans="1:36" ht="72.75" hidden="1" x14ac:dyDescent="0.25">
      <c r="A25" s="17"/>
      <c r="B25" s="417" t="s">
        <v>416</v>
      </c>
      <c r="C25" s="419"/>
      <c r="D25" s="31"/>
      <c r="E25" s="421" t="s">
        <v>415</v>
      </c>
      <c r="F25" s="421"/>
      <c r="G25" s="400">
        <f t="shared" si="32"/>
        <v>0</v>
      </c>
      <c r="H25" s="400">
        <f t="shared" si="8"/>
        <v>0</v>
      </c>
      <c r="I25" s="1063"/>
      <c r="J25" s="1063"/>
      <c r="K25" s="1063"/>
      <c r="L25" s="1063"/>
      <c r="M25" s="1064"/>
      <c r="N25" s="1064"/>
      <c r="O25" s="1031"/>
      <c r="P25" s="1031"/>
      <c r="Q25" s="1031"/>
      <c r="R25" s="1031"/>
      <c r="S25" s="1031"/>
      <c r="T25" s="1031"/>
      <c r="U25" s="560"/>
      <c r="V25" s="560"/>
      <c r="W25" s="560"/>
      <c r="X25" s="560"/>
      <c r="Y25" s="560"/>
      <c r="Z25" s="560"/>
      <c r="AA25" s="560"/>
      <c r="AB25" s="560"/>
      <c r="AC25" s="785">
        <f t="shared" si="5"/>
        <v>0</v>
      </c>
      <c r="AD25" s="320"/>
      <c r="AE25" s="320"/>
      <c r="AF25" s="560"/>
      <c r="AG25" s="16">
        <f t="shared" si="19"/>
        <v>0</v>
      </c>
      <c r="AH25" s="16"/>
      <c r="AI25" s="16"/>
      <c r="AJ25" s="16"/>
    </row>
    <row r="26" spans="1:36" ht="72.75" hidden="1" x14ac:dyDescent="0.25">
      <c r="A26" s="17"/>
      <c r="B26" s="417" t="s">
        <v>417</v>
      </c>
      <c r="C26" s="422"/>
      <c r="D26" s="31"/>
      <c r="E26" s="421" t="s">
        <v>415</v>
      </c>
      <c r="F26" s="421"/>
      <c r="G26" s="400">
        <f t="shared" si="32"/>
        <v>0</v>
      </c>
      <c r="H26" s="400">
        <f t="shared" si="8"/>
        <v>0</v>
      </c>
      <c r="I26" s="1063"/>
      <c r="J26" s="1063"/>
      <c r="K26" s="1063"/>
      <c r="L26" s="1063"/>
      <c r="M26" s="1064"/>
      <c r="N26" s="1064"/>
      <c r="O26" s="1031"/>
      <c r="P26" s="1031"/>
      <c r="Q26" s="1031"/>
      <c r="R26" s="1031"/>
      <c r="S26" s="1031"/>
      <c r="T26" s="1031"/>
      <c r="U26" s="560"/>
      <c r="V26" s="560"/>
      <c r="W26" s="560"/>
      <c r="X26" s="560"/>
      <c r="Y26" s="560"/>
      <c r="Z26" s="560"/>
      <c r="AA26" s="560"/>
      <c r="AB26" s="560"/>
      <c r="AC26" s="785">
        <f t="shared" si="5"/>
        <v>0</v>
      </c>
      <c r="AD26" s="320"/>
      <c r="AE26" s="320"/>
      <c r="AF26" s="560"/>
      <c r="AG26" s="16">
        <f t="shared" si="19"/>
        <v>0</v>
      </c>
      <c r="AH26" s="16"/>
      <c r="AI26" s="16"/>
      <c r="AJ26" s="16"/>
    </row>
    <row r="27" spans="1:36" ht="72.75" hidden="1" x14ac:dyDescent="0.25">
      <c r="A27" s="17"/>
      <c r="B27" s="417" t="s">
        <v>418</v>
      </c>
      <c r="C27" s="422"/>
      <c r="D27" s="31"/>
      <c r="E27" s="421" t="s">
        <v>415</v>
      </c>
      <c r="F27" s="421"/>
      <c r="G27" s="400">
        <f t="shared" si="32"/>
        <v>0</v>
      </c>
      <c r="H27" s="400">
        <f t="shared" si="8"/>
        <v>0</v>
      </c>
      <c r="I27" s="1063"/>
      <c r="J27" s="1063"/>
      <c r="K27" s="1063"/>
      <c r="L27" s="1063"/>
      <c r="M27" s="1064"/>
      <c r="N27" s="1064"/>
      <c r="O27" s="1031"/>
      <c r="P27" s="1031"/>
      <c r="Q27" s="1031"/>
      <c r="R27" s="1031"/>
      <c r="S27" s="1031"/>
      <c r="T27" s="1031"/>
      <c r="U27" s="560"/>
      <c r="V27" s="560"/>
      <c r="W27" s="560"/>
      <c r="X27" s="560"/>
      <c r="Y27" s="560"/>
      <c r="Z27" s="560"/>
      <c r="AA27" s="560"/>
      <c r="AB27" s="560"/>
      <c r="AC27" s="785">
        <f t="shared" si="5"/>
        <v>0</v>
      </c>
      <c r="AD27" s="320"/>
      <c r="AE27" s="320"/>
      <c r="AF27" s="560"/>
      <c r="AG27" s="16">
        <f t="shared" si="19"/>
        <v>0</v>
      </c>
      <c r="AH27" s="16"/>
      <c r="AI27" s="16"/>
      <c r="AJ27" s="16"/>
    </row>
    <row r="28" spans="1:36" ht="72.75" hidden="1" x14ac:dyDescent="0.25">
      <c r="A28" s="17"/>
      <c r="B28" s="417" t="s">
        <v>419</v>
      </c>
      <c r="C28" s="422"/>
      <c r="D28" s="31"/>
      <c r="E28" s="421" t="s">
        <v>415</v>
      </c>
      <c r="F28" s="421"/>
      <c r="G28" s="400">
        <f t="shared" si="32"/>
        <v>0</v>
      </c>
      <c r="H28" s="400">
        <f t="shared" si="8"/>
        <v>0</v>
      </c>
      <c r="I28" s="1063"/>
      <c r="J28" s="1063"/>
      <c r="K28" s="1063"/>
      <c r="L28" s="1063"/>
      <c r="M28" s="1064"/>
      <c r="N28" s="1064"/>
      <c r="O28" s="1031"/>
      <c r="P28" s="1031"/>
      <c r="Q28" s="1031"/>
      <c r="R28" s="1031"/>
      <c r="S28" s="1031"/>
      <c r="T28" s="1031"/>
      <c r="U28" s="560"/>
      <c r="V28" s="560"/>
      <c r="W28" s="560"/>
      <c r="X28" s="560"/>
      <c r="Y28" s="560"/>
      <c r="Z28" s="560"/>
      <c r="AA28" s="560"/>
      <c r="AB28" s="560"/>
      <c r="AC28" s="785">
        <f t="shared" si="5"/>
        <v>0</v>
      </c>
      <c r="AD28" s="320"/>
      <c r="AE28" s="320"/>
      <c r="AF28" s="560"/>
      <c r="AG28" s="16">
        <f t="shared" si="19"/>
        <v>0</v>
      </c>
      <c r="AH28" s="16"/>
      <c r="AI28" s="16"/>
      <c r="AJ28" s="16"/>
    </row>
    <row r="29" spans="1:36" ht="38.25" x14ac:dyDescent="0.25">
      <c r="A29" s="17"/>
      <c r="B29" s="417" t="s">
        <v>420</v>
      </c>
      <c r="C29" s="419" t="s">
        <v>583</v>
      </c>
      <c r="D29" s="31"/>
      <c r="E29" s="400">
        <f>G29+H29</f>
        <v>30</v>
      </c>
      <c r="F29" s="400">
        <f t="shared" ref="F29" si="33">J29+N29+R29+V29+Z29+AD29+AH29</f>
        <v>0</v>
      </c>
      <c r="G29" s="400">
        <f t="shared" ref="G29" si="34">K29+O29+S29+W29+AA29+AE29+AI29</f>
        <v>0</v>
      </c>
      <c r="H29" s="400">
        <f t="shared" si="8"/>
        <v>30</v>
      </c>
      <c r="I29" s="1049">
        <f>K29+L29</f>
        <v>30</v>
      </c>
      <c r="J29" s="1049"/>
      <c r="K29" s="1063"/>
      <c r="L29" s="1063">
        <v>30</v>
      </c>
      <c r="M29" s="1049">
        <f>O29+P29</f>
        <v>0</v>
      </c>
      <c r="N29" s="1049"/>
      <c r="O29" s="1031"/>
      <c r="P29" s="1031"/>
      <c r="Q29" s="1049">
        <f>S29+T29</f>
        <v>0</v>
      </c>
      <c r="R29" s="1049"/>
      <c r="S29" s="1031"/>
      <c r="T29" s="1031"/>
      <c r="U29" s="400">
        <f>W29+X29</f>
        <v>0</v>
      </c>
      <c r="V29" s="400"/>
      <c r="W29" s="560"/>
      <c r="X29" s="560"/>
      <c r="Y29" s="400">
        <f>AA29+AB29</f>
        <v>0</v>
      </c>
      <c r="Z29" s="400"/>
      <c r="AA29" s="560"/>
      <c r="AB29" s="560"/>
      <c r="AC29" s="785">
        <f t="shared" si="5"/>
        <v>0</v>
      </c>
      <c r="AD29" s="320"/>
      <c r="AE29" s="320"/>
      <c r="AF29" s="560"/>
      <c r="AG29" s="16">
        <f t="shared" si="19"/>
        <v>0</v>
      </c>
      <c r="AH29" s="16"/>
      <c r="AI29" s="16"/>
      <c r="AJ29" s="16"/>
    </row>
    <row r="30" spans="1:36" ht="30" x14ac:dyDescent="0.25">
      <c r="A30" s="17"/>
      <c r="B30" s="409" t="s">
        <v>585</v>
      </c>
      <c r="C30" s="868" t="s">
        <v>457</v>
      </c>
      <c r="D30" s="31"/>
      <c r="E30" s="400">
        <f>G30+H30</f>
        <v>500</v>
      </c>
      <c r="F30" s="400">
        <f t="shared" ref="F30:F31" si="35">J30+N30+R30+V30+Z30+AD30+AH30</f>
        <v>0</v>
      </c>
      <c r="G30" s="400">
        <f t="shared" ref="G30:G31" si="36">K30+O30+S30+W30+AA30+AE30+AI30</f>
        <v>0</v>
      </c>
      <c r="H30" s="400">
        <f t="shared" si="8"/>
        <v>500</v>
      </c>
      <c r="I30" s="1065"/>
      <c r="J30" s="1065"/>
      <c r="K30" s="1065"/>
      <c r="L30" s="1066"/>
      <c r="M30" s="1066"/>
      <c r="N30" s="1066"/>
      <c r="O30" s="1066"/>
      <c r="P30" s="1066"/>
      <c r="Q30" s="1066"/>
      <c r="R30" s="1066"/>
      <c r="S30" s="1066"/>
      <c r="T30" s="1066"/>
      <c r="U30" s="400">
        <f>W30+X30</f>
        <v>100</v>
      </c>
      <c r="V30" s="16"/>
      <c r="W30" s="16"/>
      <c r="X30" s="867">
        <v>100</v>
      </c>
      <c r="Y30" s="867">
        <f>Z30+AA30+AB30</f>
        <v>200</v>
      </c>
      <c r="Z30" s="16"/>
      <c r="AA30" s="16"/>
      <c r="AB30" s="867">
        <v>200</v>
      </c>
      <c r="AC30" s="785">
        <f t="shared" si="5"/>
        <v>100</v>
      </c>
      <c r="AD30" s="16"/>
      <c r="AE30" s="16"/>
      <c r="AF30" s="16">
        <v>100</v>
      </c>
      <c r="AG30" s="16">
        <f t="shared" si="19"/>
        <v>100</v>
      </c>
      <c r="AH30" s="16"/>
      <c r="AI30" s="16"/>
      <c r="AJ30" s="16">
        <v>100</v>
      </c>
    </row>
    <row r="31" spans="1:36" ht="28.5" customHeight="1" x14ac:dyDescent="0.25">
      <c r="A31" s="17"/>
      <c r="B31" s="16" t="s">
        <v>647</v>
      </c>
      <c r="C31" s="16" t="s">
        <v>44</v>
      </c>
      <c r="D31" s="16"/>
      <c r="E31" s="400">
        <f>G31+H31</f>
        <v>75</v>
      </c>
      <c r="F31" s="400">
        <f t="shared" si="35"/>
        <v>0</v>
      </c>
      <c r="G31" s="400">
        <f t="shared" si="36"/>
        <v>0</v>
      </c>
      <c r="H31" s="400">
        <f t="shared" si="8"/>
        <v>75</v>
      </c>
      <c r="I31" s="1105"/>
      <c r="J31" s="1105"/>
      <c r="K31" s="110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867">
        <f>Z31+AA31+AB31</f>
        <v>75</v>
      </c>
      <c r="Z31" s="16"/>
      <c r="AA31" s="16"/>
      <c r="AB31" s="16">
        <v>75</v>
      </c>
      <c r="AC31" s="785">
        <f t="shared" si="5"/>
        <v>0</v>
      </c>
      <c r="AD31" s="16"/>
      <c r="AE31" s="16"/>
      <c r="AF31" s="16"/>
      <c r="AG31" s="16">
        <f t="shared" si="19"/>
        <v>0</v>
      </c>
      <c r="AH31" s="16"/>
      <c r="AI31" s="16"/>
      <c r="AJ31" s="16"/>
    </row>
  </sheetData>
  <mergeCells count="13">
    <mergeCell ref="A5:A6"/>
    <mergeCell ref="B5:B6"/>
    <mergeCell ref="C5:C6"/>
    <mergeCell ref="AG4:AJ4"/>
    <mergeCell ref="M1:X1"/>
    <mergeCell ref="B2:M2"/>
    <mergeCell ref="E4:H4"/>
    <mergeCell ref="I4:L4"/>
    <mergeCell ref="M4:P4"/>
    <mergeCell ref="Q4:T4"/>
    <mergeCell ref="U4:X4"/>
    <mergeCell ref="AC4:AF4"/>
    <mergeCell ref="Y4:AB4"/>
  </mergeCells>
  <pageMargins left="0" right="0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view="pageBreakPreview" zoomScale="82" zoomScaleSheetLayoutView="82" workbookViewId="0">
      <pane xSplit="2" ySplit="5" topLeftCell="U6" activePane="bottomRight" state="frozen"/>
      <selection pane="topRight" activeCell="C1" sqref="C1"/>
      <selection pane="bottomLeft" activeCell="A6" sqref="A6"/>
      <selection pane="bottomRight" activeCell="W14" sqref="W14"/>
    </sheetView>
  </sheetViews>
  <sheetFormatPr defaultColWidth="8.85546875" defaultRowHeight="15" x14ac:dyDescent="0.25"/>
  <cols>
    <col min="1" max="1" width="6.42578125" style="352" customWidth="1"/>
    <col min="2" max="2" width="33.5703125" style="30" customWidth="1"/>
    <col min="3" max="3" width="12.140625" style="30" customWidth="1"/>
    <col min="4" max="4" width="1.5703125" style="30" hidden="1" customWidth="1"/>
    <col min="5" max="5" width="12" style="30" customWidth="1"/>
    <col min="6" max="6" width="4.7109375" style="30" customWidth="1"/>
    <col min="7" max="7" width="12.42578125" style="30" customWidth="1"/>
    <col min="8" max="8" width="7.85546875" style="30" customWidth="1"/>
    <col min="9" max="9" width="7.7109375" style="30" customWidth="1"/>
    <col min="10" max="10" width="4.42578125" style="30" customWidth="1"/>
    <col min="11" max="11" width="7.28515625" style="30" customWidth="1"/>
    <col min="12" max="12" width="5.42578125" style="30" customWidth="1"/>
    <col min="13" max="13" width="9.42578125" style="30" customWidth="1"/>
    <col min="14" max="14" width="3.42578125" style="30" customWidth="1"/>
    <col min="15" max="15" width="8.2851562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10.140625" style="30" customWidth="1"/>
    <col min="22" max="22" width="4.28515625" style="30" customWidth="1"/>
    <col min="23" max="23" width="9.7109375" style="30" customWidth="1"/>
    <col min="24" max="24" width="6.42578125" style="30" customWidth="1"/>
    <col min="25" max="25" width="10.28515625" style="30" customWidth="1"/>
    <col min="26" max="26" width="3.7109375" style="30" customWidth="1"/>
    <col min="27" max="27" width="8.5703125" style="30" customWidth="1"/>
    <col min="28" max="28" width="5.85546875" style="30" customWidth="1"/>
    <col min="29" max="29" width="9" style="30" customWidth="1"/>
    <col min="30" max="30" width="5.28515625" style="30" customWidth="1"/>
    <col min="31" max="31" width="9" style="30" bestFit="1" customWidth="1"/>
    <col min="32" max="16384" width="8.85546875" style="30"/>
  </cols>
  <sheetData>
    <row r="1" spans="1:36" x14ac:dyDescent="0.25">
      <c r="H1" s="1183" t="s">
        <v>421</v>
      </c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</row>
    <row r="3" spans="1:36" ht="20.25" customHeight="1" x14ac:dyDescent="0.3">
      <c r="B3" s="1199" t="s">
        <v>422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1200"/>
      <c r="V3" s="1198"/>
      <c r="W3" s="1198"/>
      <c r="X3" s="1198"/>
      <c r="Y3" s="1198"/>
    </row>
    <row r="4" spans="1:36" ht="20.25" x14ac:dyDescent="0.3">
      <c r="B4" s="423"/>
      <c r="C4" s="424"/>
      <c r="D4" s="425" t="s">
        <v>423</v>
      </c>
      <c r="E4" s="426"/>
      <c r="F4" s="426"/>
      <c r="G4" s="426"/>
      <c r="H4" s="426"/>
      <c r="I4" s="426"/>
      <c r="J4" s="426"/>
      <c r="K4" s="426"/>
      <c r="L4" s="427"/>
      <c r="M4" s="344"/>
      <c r="N4" s="344"/>
    </row>
    <row r="5" spans="1:36" ht="15.75" x14ac:dyDescent="0.25">
      <c r="A5" s="388"/>
      <c r="B5" s="392" t="s">
        <v>0</v>
      </c>
      <c r="C5" s="72" t="s">
        <v>15</v>
      </c>
      <c r="D5" s="356"/>
      <c r="E5" s="1195" t="s">
        <v>159</v>
      </c>
      <c r="F5" s="1196"/>
      <c r="G5" s="1196"/>
      <c r="H5" s="1197"/>
      <c r="I5" s="1195">
        <v>2014</v>
      </c>
      <c r="J5" s="1196"/>
      <c r="K5" s="1196"/>
      <c r="L5" s="1197"/>
      <c r="M5" s="1178">
        <v>2015</v>
      </c>
      <c r="N5" s="1178"/>
      <c r="O5" s="1178"/>
      <c r="P5" s="1178"/>
      <c r="Q5" s="1178">
        <v>2016</v>
      </c>
      <c r="R5" s="1178"/>
      <c r="S5" s="1178"/>
      <c r="T5" s="1178"/>
      <c r="U5" s="1178">
        <v>2017</v>
      </c>
      <c r="V5" s="1178"/>
      <c r="W5" s="1178"/>
      <c r="X5" s="1178"/>
      <c r="Y5" s="1178">
        <v>2018</v>
      </c>
      <c r="Z5" s="1178"/>
      <c r="AA5" s="1178"/>
      <c r="AB5" s="1178"/>
      <c r="AC5" s="1178">
        <v>2019</v>
      </c>
      <c r="AD5" s="1178"/>
      <c r="AE5" s="1178"/>
      <c r="AF5" s="1178"/>
      <c r="AG5" s="1178">
        <v>2020</v>
      </c>
      <c r="AH5" s="1178"/>
      <c r="AI5" s="1178"/>
      <c r="AJ5" s="1178"/>
    </row>
    <row r="6" spans="1:36" ht="64.5" x14ac:dyDescent="0.25">
      <c r="A6" s="428"/>
      <c r="B6" s="358" t="s">
        <v>424</v>
      </c>
      <c r="C6" s="393"/>
      <c r="D6" s="393"/>
      <c r="E6" s="360" t="s">
        <v>148</v>
      </c>
      <c r="F6" s="361" t="s">
        <v>4</v>
      </c>
      <c r="G6" s="362" t="s">
        <v>3</v>
      </c>
      <c r="H6" s="363" t="s">
        <v>5</v>
      </c>
      <c r="I6" s="1037" t="s">
        <v>148</v>
      </c>
      <c r="J6" s="1038" t="s">
        <v>4</v>
      </c>
      <c r="K6" s="1038" t="s">
        <v>3</v>
      </c>
      <c r="L6" s="1039" t="s">
        <v>5</v>
      </c>
      <c r="M6" s="1039" t="s">
        <v>148</v>
      </c>
      <c r="N6" s="1039" t="s">
        <v>4</v>
      </c>
      <c r="O6" s="1039" t="s">
        <v>3</v>
      </c>
      <c r="P6" s="1039" t="s">
        <v>5</v>
      </c>
      <c r="Q6" s="1039" t="s">
        <v>148</v>
      </c>
      <c r="R6" s="1039" t="s">
        <v>4</v>
      </c>
      <c r="S6" s="1039" t="s">
        <v>3</v>
      </c>
      <c r="T6" s="1039" t="s">
        <v>5</v>
      </c>
      <c r="U6" s="364" t="s">
        <v>148</v>
      </c>
      <c r="V6" s="364" t="s">
        <v>4</v>
      </c>
      <c r="W6" s="364" t="s">
        <v>3</v>
      </c>
      <c r="X6" s="364" t="s">
        <v>5</v>
      </c>
      <c r="Y6" s="364" t="s">
        <v>148</v>
      </c>
      <c r="Z6" s="364" t="s">
        <v>4</v>
      </c>
      <c r="AA6" s="364" t="s">
        <v>3</v>
      </c>
      <c r="AB6" s="364" t="s">
        <v>5</v>
      </c>
      <c r="AC6" s="364" t="s">
        <v>148</v>
      </c>
      <c r="AD6" s="364" t="s">
        <v>4</v>
      </c>
      <c r="AE6" s="364" t="s">
        <v>3</v>
      </c>
      <c r="AF6" s="364" t="s">
        <v>5</v>
      </c>
      <c r="AG6" s="364" t="s">
        <v>148</v>
      </c>
      <c r="AH6" s="364" t="s">
        <v>4</v>
      </c>
      <c r="AI6" s="364" t="s">
        <v>3</v>
      </c>
      <c r="AJ6" s="364" t="s">
        <v>5</v>
      </c>
    </row>
    <row r="7" spans="1:36" ht="15.75" x14ac:dyDescent="0.25">
      <c r="A7" s="428"/>
      <c r="B7" s="393"/>
      <c r="C7" s="393"/>
      <c r="D7" s="393"/>
      <c r="E7" s="23">
        <f>F7+G7+H7</f>
        <v>523126.10000000003</v>
      </c>
      <c r="F7" s="23">
        <f t="shared" ref="F7:G7" si="0">J7+N7+R7+V7+Z7+AD7+AH7</f>
        <v>0</v>
      </c>
      <c r="G7" s="23">
        <f t="shared" si="0"/>
        <v>522706.10000000003</v>
      </c>
      <c r="H7" s="23">
        <f>L7+P7+T7+X7+AB7+AF7+AJ7</f>
        <v>420</v>
      </c>
      <c r="I7" s="1040">
        <f>J7+K7+L7</f>
        <v>62561.1</v>
      </c>
      <c r="J7" s="1040"/>
      <c r="K7" s="1040">
        <f>K8+K13</f>
        <v>62501.1</v>
      </c>
      <c r="L7" s="1012">
        <f>L8+L13</f>
        <v>60</v>
      </c>
      <c r="M7" s="1040">
        <f>N7+O7+P7</f>
        <v>63567.1</v>
      </c>
      <c r="N7" s="1040"/>
      <c r="O7" s="1040">
        <f>O8+O13</f>
        <v>63507.1</v>
      </c>
      <c r="P7" s="1068">
        <f>P8+P13</f>
        <v>60</v>
      </c>
      <c r="Q7" s="1040">
        <f>R7+S7+T7</f>
        <v>72143.3</v>
      </c>
      <c r="R7" s="1040"/>
      <c r="S7" s="1040">
        <f>S8+S13</f>
        <v>72083.3</v>
      </c>
      <c r="T7" s="1068">
        <f>T8+T13</f>
        <v>60</v>
      </c>
      <c r="U7" s="23">
        <f>V7+W7+X7</f>
        <v>72376.900000000009</v>
      </c>
      <c r="V7" s="23"/>
      <c r="W7" s="23">
        <f>W8+W13</f>
        <v>72316.900000000009</v>
      </c>
      <c r="X7" s="430">
        <f>X8+X13</f>
        <v>60</v>
      </c>
      <c r="Y7" s="23">
        <f>Z7+AA7+AB7</f>
        <v>78929.899999999994</v>
      </c>
      <c r="Z7" s="23"/>
      <c r="AA7" s="23">
        <f>AA8+AA13</f>
        <v>78869.899999999994</v>
      </c>
      <c r="AB7" s="430">
        <f>AB8+AB13</f>
        <v>60</v>
      </c>
      <c r="AC7" s="23">
        <f>AD7+AE7+AF7</f>
        <v>85073.5</v>
      </c>
      <c r="AD7" s="23">
        <f>AD8+AD13</f>
        <v>0</v>
      </c>
      <c r="AE7" s="23">
        <f>AE8+AE13</f>
        <v>85013.5</v>
      </c>
      <c r="AF7" s="430">
        <f>AF8+AF13</f>
        <v>60</v>
      </c>
      <c r="AG7" s="429">
        <f>AH7+AI7+AJ7</f>
        <v>88474.3</v>
      </c>
      <c r="AH7" s="430">
        <f t="shared" ref="AH7:AI7" si="1">AH8+AH13</f>
        <v>0</v>
      </c>
      <c r="AI7" s="430">
        <f t="shared" si="1"/>
        <v>88414.3</v>
      </c>
      <c r="AJ7" s="430">
        <f>AJ8+AJ13</f>
        <v>60</v>
      </c>
    </row>
    <row r="8" spans="1:36" ht="65.25" customHeight="1" x14ac:dyDescent="0.25">
      <c r="A8" s="791" t="s">
        <v>188</v>
      </c>
      <c r="B8" s="792" t="s">
        <v>425</v>
      </c>
      <c r="C8" s="780"/>
      <c r="D8" s="780"/>
      <c r="E8" s="727">
        <f t="shared" ref="E8:E15" si="2">G8+H8</f>
        <v>505266.69999999995</v>
      </c>
      <c r="F8" s="727">
        <f>J8+N8+R8+V8+Z8+AD8+AH8</f>
        <v>0</v>
      </c>
      <c r="G8" s="727">
        <f>K8+O8+S8+W8+AA8+AE8+AI8</f>
        <v>504846.69999999995</v>
      </c>
      <c r="H8" s="727">
        <f>L8+P8+T8+X8+AB8+AF8+AJ8</f>
        <v>420</v>
      </c>
      <c r="I8" s="1069">
        <f t="shared" ref="I8:I15" si="3">K8+L8</f>
        <v>60275.1</v>
      </c>
      <c r="J8" s="1069"/>
      <c r="K8" s="1069">
        <f>K9+K11</f>
        <v>60215.1</v>
      </c>
      <c r="L8" s="1069">
        <f>L9+L11</f>
        <v>60</v>
      </c>
      <c r="M8" s="1069">
        <f t="shared" ref="M8:M15" si="4">O8+P8</f>
        <v>61269.1</v>
      </c>
      <c r="N8" s="1069"/>
      <c r="O8" s="1069">
        <f>O9+O11</f>
        <v>61209.1</v>
      </c>
      <c r="P8" s="1069">
        <f>P9+P11</f>
        <v>60</v>
      </c>
      <c r="Q8" s="1069">
        <f t="shared" ref="Q8:Q15" si="5">S8+T8</f>
        <v>69572.3</v>
      </c>
      <c r="R8" s="1069"/>
      <c r="S8" s="1069">
        <f>S9+S11</f>
        <v>69512.3</v>
      </c>
      <c r="T8" s="1069">
        <f>T9+T11</f>
        <v>60</v>
      </c>
      <c r="U8" s="727">
        <f>W8+X8</f>
        <v>69957.3</v>
      </c>
      <c r="V8" s="727"/>
      <c r="W8" s="727">
        <f>W9+W11</f>
        <v>69897.3</v>
      </c>
      <c r="X8" s="793">
        <f>X9+X11</f>
        <v>60</v>
      </c>
      <c r="Y8" s="727">
        <f>AA8+AB8</f>
        <v>76275.899999999994</v>
      </c>
      <c r="Z8" s="727"/>
      <c r="AA8" s="727">
        <f>AA9+AA11</f>
        <v>76215.899999999994</v>
      </c>
      <c r="AB8" s="727">
        <f>AB9+AB11</f>
        <v>60</v>
      </c>
      <c r="AC8" s="727">
        <f t="shared" ref="AC8:AC14" si="6">AD8+AE8+AF8</f>
        <v>82313.3</v>
      </c>
      <c r="AD8" s="727">
        <f t="shared" ref="AD8:AE8" si="7">AD9+AD11</f>
        <v>0</v>
      </c>
      <c r="AE8" s="727">
        <f t="shared" si="7"/>
        <v>82253.3</v>
      </c>
      <c r="AF8" s="727">
        <f>AF9+AF11</f>
        <v>60</v>
      </c>
      <c r="AG8" s="729">
        <f>AH8+AI8+AJ8</f>
        <v>85603.7</v>
      </c>
      <c r="AH8" s="727">
        <f t="shared" ref="AH8:AI8" si="8">AH9+AH11</f>
        <v>0</v>
      </c>
      <c r="AI8" s="727">
        <f t="shared" si="8"/>
        <v>85543.7</v>
      </c>
      <c r="AJ8" s="727">
        <f>AJ9+AJ11</f>
        <v>60</v>
      </c>
    </row>
    <row r="9" spans="1:36" ht="117" customHeight="1" x14ac:dyDescent="0.25">
      <c r="A9" s="431" t="s">
        <v>188</v>
      </c>
      <c r="B9" s="14" t="s">
        <v>426</v>
      </c>
      <c r="C9" s="14" t="s">
        <v>427</v>
      </c>
      <c r="D9" s="365"/>
      <c r="E9" s="26">
        <f t="shared" si="2"/>
        <v>504846.69999999995</v>
      </c>
      <c r="F9" s="26">
        <f t="shared" ref="F9:G9" si="9">J9+N9+R9+V9+Z9+AD9+AH9</f>
        <v>0</v>
      </c>
      <c r="G9" s="26">
        <f t="shared" si="9"/>
        <v>504846.69999999995</v>
      </c>
      <c r="H9" s="26">
        <f>L9+P9+T9+X9+AB9+AF9+AJ9</f>
        <v>0</v>
      </c>
      <c r="I9" s="1041">
        <f t="shared" si="3"/>
        <v>60215.1</v>
      </c>
      <c r="J9" s="1041"/>
      <c r="K9" s="1041">
        <f>K10</f>
        <v>60215.1</v>
      </c>
      <c r="L9" s="1044"/>
      <c r="M9" s="1041">
        <f t="shared" si="4"/>
        <v>61209.1</v>
      </c>
      <c r="N9" s="1041"/>
      <c r="O9" s="1070">
        <f>O10</f>
        <v>61209.1</v>
      </c>
      <c r="P9" s="1070"/>
      <c r="Q9" s="1041">
        <f t="shared" si="5"/>
        <v>69512.3</v>
      </c>
      <c r="R9" s="1041"/>
      <c r="S9" s="1070">
        <v>69512.3</v>
      </c>
      <c r="T9" s="1070"/>
      <c r="U9" s="24">
        <f t="shared" ref="U9:U15" si="10">W9+X9</f>
        <v>69897.3</v>
      </c>
      <c r="V9" s="24"/>
      <c r="W9" s="251">
        <v>69897.3</v>
      </c>
      <c r="X9" s="723"/>
      <c r="Y9" s="26">
        <f t="shared" ref="Y9:Y15" si="11">AA9+AB9</f>
        <v>76215.899999999994</v>
      </c>
      <c r="Z9" s="26"/>
      <c r="AA9" s="251">
        <v>76215.899999999994</v>
      </c>
      <c r="AB9" s="718"/>
      <c r="AC9" s="26">
        <f t="shared" si="6"/>
        <v>82253.3</v>
      </c>
      <c r="AD9" s="320"/>
      <c r="AE9" s="320">
        <v>82253.3</v>
      </c>
      <c r="AF9" s="251">
        <f>AF10</f>
        <v>0</v>
      </c>
      <c r="AG9" s="867">
        <f>AH9+AI9+AJ9</f>
        <v>85543.7</v>
      </c>
      <c r="AH9" s="16"/>
      <c r="AI9" s="16">
        <v>85543.7</v>
      </c>
      <c r="AJ9" s="16"/>
    </row>
    <row r="10" spans="1:36" s="436" customFormat="1" ht="33" hidden="1" customHeight="1" x14ac:dyDescent="0.25">
      <c r="A10" s="432" t="s">
        <v>6</v>
      </c>
      <c r="B10" s="433" t="s">
        <v>428</v>
      </c>
      <c r="C10" s="433"/>
      <c r="D10" s="434"/>
      <c r="E10" s="73">
        <f t="shared" si="2"/>
        <v>347477.29999999993</v>
      </c>
      <c r="F10" s="26">
        <f t="shared" ref="F10:G10" si="12">J10+N10+R10+V10+Z10+AD10</f>
        <v>0</v>
      </c>
      <c r="G10" s="26">
        <f t="shared" si="12"/>
        <v>347477.29999999993</v>
      </c>
      <c r="H10" s="26">
        <f t="shared" ref="H10:H11" si="13">L10+P10+T10+X10+AB10+AF10+AJ10</f>
        <v>0</v>
      </c>
      <c r="I10" s="1071">
        <f t="shared" si="3"/>
        <v>60215.1</v>
      </c>
      <c r="J10" s="1071"/>
      <c r="K10" s="1071">
        <v>60215.1</v>
      </c>
      <c r="L10" s="1072"/>
      <c r="M10" s="1071">
        <f t="shared" si="4"/>
        <v>61209.1</v>
      </c>
      <c r="N10" s="1071"/>
      <c r="O10" s="1073">
        <v>61209.1</v>
      </c>
      <c r="P10" s="1073"/>
      <c r="Q10" s="1071">
        <f t="shared" si="5"/>
        <v>71899.899999999994</v>
      </c>
      <c r="R10" s="1071"/>
      <c r="S10" s="1073">
        <v>71899.899999999994</v>
      </c>
      <c r="T10" s="1073"/>
      <c r="U10" s="73">
        <f t="shared" si="10"/>
        <v>77076.600000000006</v>
      </c>
      <c r="V10" s="73"/>
      <c r="W10" s="321">
        <v>77076.600000000006</v>
      </c>
      <c r="X10" s="724"/>
      <c r="Y10" s="250">
        <f t="shared" si="11"/>
        <v>77076.600000000006</v>
      </c>
      <c r="Z10" s="250"/>
      <c r="AA10" s="321">
        <f>W10</f>
        <v>77076.600000000006</v>
      </c>
      <c r="AB10" s="719"/>
      <c r="AC10" s="26">
        <f t="shared" si="6"/>
        <v>0</v>
      </c>
      <c r="AD10" s="720"/>
      <c r="AE10" s="720"/>
      <c r="AF10" s="720"/>
      <c r="AG10" s="867">
        <f t="shared" ref="AG10:AG11" si="14">AH10+AI10+AJ10</f>
        <v>0</v>
      </c>
      <c r="AH10" s="438"/>
      <c r="AI10" s="438"/>
      <c r="AJ10" s="438"/>
    </row>
    <row r="11" spans="1:36" ht="60" customHeight="1" x14ac:dyDescent="0.25">
      <c r="A11" s="437">
        <v>2</v>
      </c>
      <c r="B11" s="373" t="s">
        <v>429</v>
      </c>
      <c r="C11" s="14" t="s">
        <v>51</v>
      </c>
      <c r="D11" s="344"/>
      <c r="E11" s="26">
        <f t="shared" si="2"/>
        <v>420</v>
      </c>
      <c r="F11" s="26">
        <f t="shared" ref="F11" si="15">J11+N11+R11+V11+Z11+AD11+AH11</f>
        <v>0</v>
      </c>
      <c r="G11" s="26">
        <f t="shared" ref="G11" si="16">K11+O11+S11+W11+AA11+AE11+AI11</f>
        <v>0</v>
      </c>
      <c r="H11" s="26">
        <f t="shared" si="13"/>
        <v>420</v>
      </c>
      <c r="I11" s="1041">
        <f t="shared" si="3"/>
        <v>60</v>
      </c>
      <c r="J11" s="1041"/>
      <c r="K11" s="1041"/>
      <c r="L11" s="1043">
        <f>L12</f>
        <v>60</v>
      </c>
      <c r="M11" s="1041">
        <f t="shared" si="4"/>
        <v>60</v>
      </c>
      <c r="N11" s="1041"/>
      <c r="O11" s="1041"/>
      <c r="P11" s="1043">
        <f>P12</f>
        <v>60</v>
      </c>
      <c r="Q11" s="1041">
        <f t="shared" si="5"/>
        <v>60</v>
      </c>
      <c r="R11" s="1041"/>
      <c r="S11" s="1041"/>
      <c r="T11" s="1043">
        <v>60</v>
      </c>
      <c r="U11" s="24">
        <f t="shared" si="10"/>
        <v>60</v>
      </c>
      <c r="V11" s="24"/>
      <c r="W11" s="26"/>
      <c r="X11" s="725">
        <v>60</v>
      </c>
      <c r="Y11" s="26">
        <f t="shared" si="11"/>
        <v>60</v>
      </c>
      <c r="Z11" s="26"/>
      <c r="AA11" s="26"/>
      <c r="AB11" s="716">
        <v>60</v>
      </c>
      <c r="AC11" s="26">
        <f t="shared" si="6"/>
        <v>60</v>
      </c>
      <c r="AD11" s="320"/>
      <c r="AE11" s="320"/>
      <c r="AF11" s="716">
        <v>60</v>
      </c>
      <c r="AG11" s="867">
        <f t="shared" si="14"/>
        <v>60</v>
      </c>
      <c r="AH11" s="16"/>
      <c r="AI11" s="16"/>
      <c r="AJ11" s="16">
        <v>60</v>
      </c>
    </row>
    <row r="12" spans="1:36" s="436" customFormat="1" ht="31.9" hidden="1" customHeight="1" x14ac:dyDescent="0.25">
      <c r="A12" s="432" t="s">
        <v>14</v>
      </c>
      <c r="B12" s="433" t="s">
        <v>430</v>
      </c>
      <c r="C12" s="433"/>
      <c r="D12" s="434"/>
      <c r="E12" s="73">
        <f t="shared" si="2"/>
        <v>300</v>
      </c>
      <c r="F12" s="73"/>
      <c r="G12" s="26">
        <f t="shared" ref="G12:H15" si="17">K12+O12+S12+W12+AA12</f>
        <v>0</v>
      </c>
      <c r="H12" s="26">
        <f t="shared" ref="H12" si="18">L12+P12+T12+X12+AB12+AF12</f>
        <v>300</v>
      </c>
      <c r="I12" s="1071">
        <f t="shared" si="3"/>
        <v>60</v>
      </c>
      <c r="J12" s="1071"/>
      <c r="K12" s="1071"/>
      <c r="L12" s="1072">
        <v>60</v>
      </c>
      <c r="M12" s="1071">
        <f t="shared" si="4"/>
        <v>60</v>
      </c>
      <c r="N12" s="1071"/>
      <c r="O12" s="1073"/>
      <c r="P12" s="1073">
        <v>60</v>
      </c>
      <c r="Q12" s="1071">
        <f t="shared" si="5"/>
        <v>60</v>
      </c>
      <c r="R12" s="1071"/>
      <c r="S12" s="1073"/>
      <c r="T12" s="1073">
        <v>60</v>
      </c>
      <c r="U12" s="73">
        <f t="shared" si="10"/>
        <v>60</v>
      </c>
      <c r="V12" s="73"/>
      <c r="W12" s="321"/>
      <c r="X12" s="724">
        <v>60</v>
      </c>
      <c r="Y12" s="250">
        <f t="shared" si="11"/>
        <v>60</v>
      </c>
      <c r="Z12" s="719"/>
      <c r="AA12" s="719"/>
      <c r="AB12" s="719">
        <v>60</v>
      </c>
      <c r="AC12" s="26">
        <f t="shared" si="6"/>
        <v>0</v>
      </c>
      <c r="AD12" s="720"/>
      <c r="AE12" s="720"/>
      <c r="AF12" s="720"/>
      <c r="AG12" s="438"/>
      <c r="AH12" s="438"/>
      <c r="AI12" s="438"/>
      <c r="AJ12" s="438"/>
    </row>
    <row r="13" spans="1:36" ht="77.25" x14ac:dyDescent="0.25">
      <c r="A13" s="787" t="s">
        <v>13</v>
      </c>
      <c r="B13" s="764" t="s">
        <v>431</v>
      </c>
      <c r="C13" s="780"/>
      <c r="D13" s="780"/>
      <c r="E13" s="727">
        <f t="shared" si="2"/>
        <v>17859.399999999998</v>
      </c>
      <c r="F13" s="727">
        <f t="shared" ref="F13:G14" si="19">J13+N13+R13+V13+Z13+AD13+AH13</f>
        <v>0</v>
      </c>
      <c r="G13" s="727">
        <f t="shared" si="19"/>
        <v>17859.399999999998</v>
      </c>
      <c r="H13" s="727">
        <f>L13+P13+T13+X13+AB13+AF13+AJ13</f>
        <v>0</v>
      </c>
      <c r="I13" s="1069">
        <f t="shared" si="3"/>
        <v>2286</v>
      </c>
      <c r="J13" s="1069"/>
      <c r="K13" s="1069">
        <f>K14</f>
        <v>2286</v>
      </c>
      <c r="L13" s="1074">
        <f>L14</f>
        <v>0</v>
      </c>
      <c r="M13" s="1069">
        <f t="shared" si="4"/>
        <v>2298</v>
      </c>
      <c r="N13" s="1069"/>
      <c r="O13" s="1075">
        <f>O14</f>
        <v>2298</v>
      </c>
      <c r="P13" s="1075">
        <f>P14</f>
        <v>0</v>
      </c>
      <c r="Q13" s="1069">
        <f t="shared" si="5"/>
        <v>2571</v>
      </c>
      <c r="R13" s="1069"/>
      <c r="S13" s="1074">
        <f>S14</f>
        <v>2571</v>
      </c>
      <c r="T13" s="1074">
        <f>T14</f>
        <v>0</v>
      </c>
      <c r="U13" s="727">
        <f t="shared" si="10"/>
        <v>2419.6</v>
      </c>
      <c r="V13" s="727"/>
      <c r="W13" s="791">
        <v>2419.6</v>
      </c>
      <c r="X13" s="788">
        <f>X14</f>
        <v>0</v>
      </c>
      <c r="Y13" s="727">
        <f t="shared" si="11"/>
        <v>2654</v>
      </c>
      <c r="Z13" s="727"/>
      <c r="AA13" s="788">
        <f>AA14</f>
        <v>2654</v>
      </c>
      <c r="AB13" s="790">
        <f>AB14</f>
        <v>0</v>
      </c>
      <c r="AC13" s="727">
        <f t="shared" si="6"/>
        <v>2760.2</v>
      </c>
      <c r="AD13" s="789"/>
      <c r="AE13" s="789">
        <f>AE14</f>
        <v>2760.2</v>
      </c>
      <c r="AF13" s="790">
        <f>AF14</f>
        <v>0</v>
      </c>
      <c r="AG13" s="790">
        <f>AH13+AI13+AJ13</f>
        <v>2870.6</v>
      </c>
      <c r="AH13" s="790">
        <f>AH14</f>
        <v>0</v>
      </c>
      <c r="AI13" s="790">
        <f>AI14</f>
        <v>2870.6</v>
      </c>
      <c r="AJ13" s="790">
        <f>AJ14</f>
        <v>0</v>
      </c>
    </row>
    <row r="14" spans="1:36" ht="51.75" x14ac:dyDescent="0.25">
      <c r="A14" s="431">
        <v>3</v>
      </c>
      <c r="B14" s="14" t="s">
        <v>432</v>
      </c>
      <c r="C14" s="14" t="s">
        <v>51</v>
      </c>
      <c r="D14" s="365"/>
      <c r="E14" s="26">
        <f t="shared" si="2"/>
        <v>18086.3</v>
      </c>
      <c r="F14" s="24">
        <f t="shared" si="19"/>
        <v>0</v>
      </c>
      <c r="G14" s="24">
        <f t="shared" si="19"/>
        <v>18086.3</v>
      </c>
      <c r="H14" s="24">
        <f>L14+P14+T14+X14+AB14+AF14+AJ14</f>
        <v>0</v>
      </c>
      <c r="I14" s="1041">
        <f t="shared" si="3"/>
        <v>2286</v>
      </c>
      <c r="J14" s="1041"/>
      <c r="K14" s="1041">
        <f>K15</f>
        <v>2286</v>
      </c>
      <c r="L14" s="956"/>
      <c r="M14" s="1041">
        <f t="shared" si="4"/>
        <v>2298</v>
      </c>
      <c r="N14" s="1041"/>
      <c r="O14" s="1041">
        <f>O15</f>
        <v>2298</v>
      </c>
      <c r="P14" s="956"/>
      <c r="Q14" s="1041">
        <f t="shared" si="5"/>
        <v>2571</v>
      </c>
      <c r="R14" s="1041"/>
      <c r="S14" s="1041">
        <v>2571</v>
      </c>
      <c r="T14" s="956"/>
      <c r="U14" s="24">
        <f t="shared" si="10"/>
        <v>2646.5</v>
      </c>
      <c r="V14" s="24"/>
      <c r="W14" s="26">
        <v>2646.5</v>
      </c>
      <c r="X14" s="726"/>
      <c r="Y14" s="26">
        <f t="shared" si="11"/>
        <v>2654</v>
      </c>
      <c r="Z14" s="26"/>
      <c r="AA14" s="26">
        <v>2654</v>
      </c>
      <c r="AB14" s="693">
        <v>0</v>
      </c>
      <c r="AC14" s="26">
        <f t="shared" si="6"/>
        <v>2760.2</v>
      </c>
      <c r="AD14" s="320"/>
      <c r="AE14" s="320">
        <v>2760.2</v>
      </c>
      <c r="AF14" s="693">
        <v>0</v>
      </c>
      <c r="AG14" s="867">
        <f>AH14+AI14+AJ14</f>
        <v>2870.6</v>
      </c>
      <c r="AH14" s="867"/>
      <c r="AI14" s="867">
        <v>2870.6</v>
      </c>
      <c r="AJ14" s="867"/>
    </row>
    <row r="15" spans="1:36" s="436" customFormat="1" ht="42" hidden="1" customHeight="1" x14ac:dyDescent="0.25">
      <c r="A15" s="432" t="s">
        <v>53</v>
      </c>
      <c r="B15" s="433" t="s">
        <v>433</v>
      </c>
      <c r="C15" s="433"/>
      <c r="D15" s="434"/>
      <c r="E15" s="73">
        <f t="shared" si="2"/>
        <v>12646.400000000001</v>
      </c>
      <c r="F15" s="73"/>
      <c r="G15" s="26">
        <f t="shared" si="17"/>
        <v>12646.400000000001</v>
      </c>
      <c r="H15" s="26">
        <f t="shared" si="17"/>
        <v>0</v>
      </c>
      <c r="I15" s="73">
        <f t="shared" si="3"/>
        <v>2286</v>
      </c>
      <c r="J15" s="73"/>
      <c r="K15" s="73">
        <v>2286</v>
      </c>
      <c r="L15" s="438"/>
      <c r="M15" s="73">
        <f t="shared" si="4"/>
        <v>2298</v>
      </c>
      <c r="N15" s="73"/>
      <c r="O15" s="438">
        <v>2298</v>
      </c>
      <c r="P15" s="438"/>
      <c r="Q15" s="73">
        <f t="shared" si="5"/>
        <v>2570.8000000000002</v>
      </c>
      <c r="R15" s="73"/>
      <c r="S15" s="439">
        <v>2570.8000000000002</v>
      </c>
      <c r="T15" s="439"/>
      <c r="U15" s="73">
        <f t="shared" si="10"/>
        <v>2745.8</v>
      </c>
      <c r="V15" s="73"/>
      <c r="W15" s="438">
        <v>2745.8</v>
      </c>
      <c r="X15" s="438"/>
      <c r="Y15" s="73">
        <f t="shared" si="11"/>
        <v>2745.8</v>
      </c>
      <c r="Z15" s="435"/>
      <c r="AA15" s="435">
        <f>W15</f>
        <v>2745.8</v>
      </c>
      <c r="AB15" s="435"/>
    </row>
  </sheetData>
  <mergeCells count="10">
    <mergeCell ref="AG5:AJ5"/>
    <mergeCell ref="AC5:AF5"/>
    <mergeCell ref="U5:X5"/>
    <mergeCell ref="Y5:AB5"/>
    <mergeCell ref="H1:X1"/>
    <mergeCell ref="B3:Y3"/>
    <mergeCell ref="E5:H5"/>
    <mergeCell ref="I5:L5"/>
    <mergeCell ref="M5:P5"/>
    <mergeCell ref="Q5:T5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0"/>
    <col min="2" max="2" width="3.7109375" style="30" customWidth="1"/>
    <col min="3" max="3" width="10.5703125" style="30" bestFit="1" customWidth="1"/>
    <col min="4" max="4" width="12.5703125" style="30" bestFit="1" customWidth="1"/>
    <col min="5" max="6" width="10.5703125" style="30" bestFit="1" customWidth="1"/>
    <col min="7" max="7" width="10.5703125" style="30" customWidth="1"/>
    <col min="8" max="8" width="10.5703125" style="30" bestFit="1" customWidth="1"/>
    <col min="9" max="259" width="8.85546875" style="30"/>
    <col min="260" max="264" width="10.5703125" style="30" bestFit="1" customWidth="1"/>
    <col min="265" max="515" width="8.85546875" style="30"/>
    <col min="516" max="520" width="10.5703125" style="30" bestFit="1" customWidth="1"/>
    <col min="521" max="771" width="8.85546875" style="30"/>
    <col min="772" max="776" width="10.5703125" style="30" bestFit="1" customWidth="1"/>
    <col min="777" max="1027" width="8.85546875" style="30"/>
    <col min="1028" max="1032" width="10.5703125" style="30" bestFit="1" customWidth="1"/>
    <col min="1033" max="1283" width="8.85546875" style="30"/>
    <col min="1284" max="1288" width="10.5703125" style="30" bestFit="1" customWidth="1"/>
    <col min="1289" max="1539" width="8.85546875" style="30"/>
    <col min="1540" max="1544" width="10.5703125" style="30" bestFit="1" customWidth="1"/>
    <col min="1545" max="1795" width="8.85546875" style="30"/>
    <col min="1796" max="1800" width="10.5703125" style="30" bestFit="1" customWidth="1"/>
    <col min="1801" max="2051" width="8.85546875" style="30"/>
    <col min="2052" max="2056" width="10.5703125" style="30" bestFit="1" customWidth="1"/>
    <col min="2057" max="2307" width="8.85546875" style="30"/>
    <col min="2308" max="2312" width="10.5703125" style="30" bestFit="1" customWidth="1"/>
    <col min="2313" max="2563" width="8.85546875" style="30"/>
    <col min="2564" max="2568" width="10.5703125" style="30" bestFit="1" customWidth="1"/>
    <col min="2569" max="2819" width="8.85546875" style="30"/>
    <col min="2820" max="2824" width="10.5703125" style="30" bestFit="1" customWidth="1"/>
    <col min="2825" max="3075" width="8.85546875" style="30"/>
    <col min="3076" max="3080" width="10.5703125" style="30" bestFit="1" customWidth="1"/>
    <col min="3081" max="3331" width="8.85546875" style="30"/>
    <col min="3332" max="3336" width="10.5703125" style="30" bestFit="1" customWidth="1"/>
    <col min="3337" max="3587" width="8.85546875" style="30"/>
    <col min="3588" max="3592" width="10.5703125" style="30" bestFit="1" customWidth="1"/>
    <col min="3593" max="3843" width="8.85546875" style="30"/>
    <col min="3844" max="3848" width="10.5703125" style="30" bestFit="1" customWidth="1"/>
    <col min="3849" max="4099" width="8.85546875" style="30"/>
    <col min="4100" max="4104" width="10.5703125" style="30" bestFit="1" customWidth="1"/>
    <col min="4105" max="4355" width="8.85546875" style="30"/>
    <col min="4356" max="4360" width="10.5703125" style="30" bestFit="1" customWidth="1"/>
    <col min="4361" max="4611" width="8.85546875" style="30"/>
    <col min="4612" max="4616" width="10.5703125" style="30" bestFit="1" customWidth="1"/>
    <col min="4617" max="4867" width="8.85546875" style="30"/>
    <col min="4868" max="4872" width="10.5703125" style="30" bestFit="1" customWidth="1"/>
    <col min="4873" max="5123" width="8.85546875" style="30"/>
    <col min="5124" max="5128" width="10.5703125" style="30" bestFit="1" customWidth="1"/>
    <col min="5129" max="5379" width="8.85546875" style="30"/>
    <col min="5380" max="5384" width="10.5703125" style="30" bestFit="1" customWidth="1"/>
    <col min="5385" max="5635" width="8.85546875" style="30"/>
    <col min="5636" max="5640" width="10.5703125" style="30" bestFit="1" customWidth="1"/>
    <col min="5641" max="5891" width="8.85546875" style="30"/>
    <col min="5892" max="5896" width="10.5703125" style="30" bestFit="1" customWidth="1"/>
    <col min="5897" max="6147" width="8.85546875" style="30"/>
    <col min="6148" max="6152" width="10.5703125" style="30" bestFit="1" customWidth="1"/>
    <col min="6153" max="6403" width="8.85546875" style="30"/>
    <col min="6404" max="6408" width="10.5703125" style="30" bestFit="1" customWidth="1"/>
    <col min="6409" max="6659" width="8.85546875" style="30"/>
    <col min="6660" max="6664" width="10.5703125" style="30" bestFit="1" customWidth="1"/>
    <col min="6665" max="6915" width="8.85546875" style="30"/>
    <col min="6916" max="6920" width="10.5703125" style="30" bestFit="1" customWidth="1"/>
    <col min="6921" max="7171" width="8.85546875" style="30"/>
    <col min="7172" max="7176" width="10.5703125" style="30" bestFit="1" customWidth="1"/>
    <col min="7177" max="7427" width="8.85546875" style="30"/>
    <col min="7428" max="7432" width="10.5703125" style="30" bestFit="1" customWidth="1"/>
    <col min="7433" max="7683" width="8.85546875" style="30"/>
    <col min="7684" max="7688" width="10.5703125" style="30" bestFit="1" customWidth="1"/>
    <col min="7689" max="7939" width="8.85546875" style="30"/>
    <col min="7940" max="7944" width="10.5703125" style="30" bestFit="1" customWidth="1"/>
    <col min="7945" max="8195" width="8.85546875" style="30"/>
    <col min="8196" max="8200" width="10.5703125" style="30" bestFit="1" customWidth="1"/>
    <col min="8201" max="8451" width="8.85546875" style="30"/>
    <col min="8452" max="8456" width="10.5703125" style="30" bestFit="1" customWidth="1"/>
    <col min="8457" max="8707" width="8.85546875" style="30"/>
    <col min="8708" max="8712" width="10.5703125" style="30" bestFit="1" customWidth="1"/>
    <col min="8713" max="8963" width="8.85546875" style="30"/>
    <col min="8964" max="8968" width="10.5703125" style="30" bestFit="1" customWidth="1"/>
    <col min="8969" max="9219" width="8.85546875" style="30"/>
    <col min="9220" max="9224" width="10.5703125" style="30" bestFit="1" customWidth="1"/>
    <col min="9225" max="9475" width="8.85546875" style="30"/>
    <col min="9476" max="9480" width="10.5703125" style="30" bestFit="1" customWidth="1"/>
    <col min="9481" max="9731" width="8.85546875" style="30"/>
    <col min="9732" max="9736" width="10.5703125" style="30" bestFit="1" customWidth="1"/>
    <col min="9737" max="9987" width="8.85546875" style="30"/>
    <col min="9988" max="9992" width="10.5703125" style="30" bestFit="1" customWidth="1"/>
    <col min="9993" max="10243" width="8.85546875" style="30"/>
    <col min="10244" max="10248" width="10.5703125" style="30" bestFit="1" customWidth="1"/>
    <col min="10249" max="10499" width="8.85546875" style="30"/>
    <col min="10500" max="10504" width="10.5703125" style="30" bestFit="1" customWidth="1"/>
    <col min="10505" max="10755" width="8.85546875" style="30"/>
    <col min="10756" max="10760" width="10.5703125" style="30" bestFit="1" customWidth="1"/>
    <col min="10761" max="11011" width="8.85546875" style="30"/>
    <col min="11012" max="11016" width="10.5703125" style="30" bestFit="1" customWidth="1"/>
    <col min="11017" max="11267" width="8.85546875" style="30"/>
    <col min="11268" max="11272" width="10.5703125" style="30" bestFit="1" customWidth="1"/>
    <col min="11273" max="11523" width="8.85546875" style="30"/>
    <col min="11524" max="11528" width="10.5703125" style="30" bestFit="1" customWidth="1"/>
    <col min="11529" max="11779" width="8.85546875" style="30"/>
    <col min="11780" max="11784" width="10.5703125" style="30" bestFit="1" customWidth="1"/>
    <col min="11785" max="12035" width="8.85546875" style="30"/>
    <col min="12036" max="12040" width="10.5703125" style="30" bestFit="1" customWidth="1"/>
    <col min="12041" max="12291" width="8.85546875" style="30"/>
    <col min="12292" max="12296" width="10.5703125" style="30" bestFit="1" customWidth="1"/>
    <col min="12297" max="12547" width="8.85546875" style="30"/>
    <col min="12548" max="12552" width="10.5703125" style="30" bestFit="1" customWidth="1"/>
    <col min="12553" max="12803" width="8.85546875" style="30"/>
    <col min="12804" max="12808" width="10.5703125" style="30" bestFit="1" customWidth="1"/>
    <col min="12809" max="13059" width="8.85546875" style="30"/>
    <col min="13060" max="13064" width="10.5703125" style="30" bestFit="1" customWidth="1"/>
    <col min="13065" max="13315" width="8.85546875" style="30"/>
    <col min="13316" max="13320" width="10.5703125" style="30" bestFit="1" customWidth="1"/>
    <col min="13321" max="13571" width="8.85546875" style="30"/>
    <col min="13572" max="13576" width="10.5703125" style="30" bestFit="1" customWidth="1"/>
    <col min="13577" max="13827" width="8.85546875" style="30"/>
    <col min="13828" max="13832" width="10.5703125" style="30" bestFit="1" customWidth="1"/>
    <col min="13833" max="14083" width="8.85546875" style="30"/>
    <col min="14084" max="14088" width="10.5703125" style="30" bestFit="1" customWidth="1"/>
    <col min="14089" max="14339" width="8.85546875" style="30"/>
    <col min="14340" max="14344" width="10.5703125" style="30" bestFit="1" customWidth="1"/>
    <col min="14345" max="14595" width="8.85546875" style="30"/>
    <col min="14596" max="14600" width="10.5703125" style="30" bestFit="1" customWidth="1"/>
    <col min="14601" max="14851" width="8.85546875" style="30"/>
    <col min="14852" max="14856" width="10.5703125" style="30" bestFit="1" customWidth="1"/>
    <col min="14857" max="15107" width="8.85546875" style="30"/>
    <col min="15108" max="15112" width="10.5703125" style="30" bestFit="1" customWidth="1"/>
    <col min="15113" max="15363" width="8.85546875" style="30"/>
    <col min="15364" max="15368" width="10.5703125" style="30" bestFit="1" customWidth="1"/>
    <col min="15369" max="15619" width="8.85546875" style="30"/>
    <col min="15620" max="15624" width="10.5703125" style="30" bestFit="1" customWidth="1"/>
    <col min="15625" max="15875" width="8.85546875" style="30"/>
    <col min="15876" max="15880" width="10.5703125" style="30" bestFit="1" customWidth="1"/>
    <col min="15881" max="16131" width="8.85546875" style="30"/>
    <col min="16132" max="16136" width="10.5703125" style="30" bestFit="1" customWidth="1"/>
    <col min="16137" max="16384" width="8.85546875" style="30"/>
  </cols>
  <sheetData>
    <row r="1" spans="1:10" ht="15.75" x14ac:dyDescent="0.25">
      <c r="A1" s="30" t="s">
        <v>275</v>
      </c>
      <c r="B1" s="31"/>
      <c r="C1" s="181">
        <v>2014</v>
      </c>
      <c r="D1" s="181">
        <v>2015</v>
      </c>
      <c r="E1" s="181">
        <v>2016</v>
      </c>
      <c r="F1" s="181">
        <v>2017</v>
      </c>
      <c r="G1" s="181">
        <v>2018</v>
      </c>
      <c r="H1" s="31"/>
    </row>
    <row r="2" spans="1:10" x14ac:dyDescent="0.25">
      <c r="A2" s="23" t="s">
        <v>2</v>
      </c>
      <c r="B2" s="31"/>
      <c r="C2" s="33">
        <f t="shared" ref="C2:H2" si="0">C3+C4+C5</f>
        <v>1033047.5</v>
      </c>
      <c r="D2" s="33">
        <f t="shared" si="0"/>
        <v>1055009.8</v>
      </c>
      <c r="E2" s="33">
        <f t="shared" si="0"/>
        <v>1090503.5</v>
      </c>
      <c r="F2" s="33">
        <f t="shared" si="0"/>
        <v>1081943.3999999999</v>
      </c>
      <c r="G2" s="33">
        <f t="shared" si="0"/>
        <v>1057489.3999999999</v>
      </c>
      <c r="H2" s="33">
        <f t="shared" si="0"/>
        <v>5317993.5999999996</v>
      </c>
    </row>
    <row r="3" spans="1:10" x14ac:dyDescent="0.25">
      <c r="A3" s="23" t="s">
        <v>3</v>
      </c>
      <c r="B3" s="31"/>
      <c r="C3" s="31">
        <v>622862.80000000005</v>
      </c>
      <c r="D3" s="31">
        <v>618044.1</v>
      </c>
      <c r="E3" s="31">
        <v>637626.9</v>
      </c>
      <c r="F3" s="31">
        <v>660971.1</v>
      </c>
      <c r="G3" s="31">
        <v>660971.1</v>
      </c>
      <c r="H3" s="31">
        <f>C3+D3+E3+F3+G3</f>
        <v>3200476</v>
      </c>
    </row>
    <row r="4" spans="1:10" x14ac:dyDescent="0.25">
      <c r="A4" s="23" t="s">
        <v>4</v>
      </c>
      <c r="B4" s="31"/>
      <c r="C4" s="31"/>
      <c r="D4" s="31">
        <v>1064.5</v>
      </c>
      <c r="E4" s="31"/>
      <c r="F4" s="31"/>
      <c r="G4" s="31"/>
      <c r="H4" s="31">
        <f>C4+D4+E4+F4+G4</f>
        <v>1064.5</v>
      </c>
    </row>
    <row r="5" spans="1:10" x14ac:dyDescent="0.25">
      <c r="A5" s="23" t="s">
        <v>5</v>
      </c>
      <c r="B5" s="31"/>
      <c r="C5" s="31">
        <v>410184.7</v>
      </c>
      <c r="D5" s="186">
        <v>435901.2</v>
      </c>
      <c r="E5" s="186">
        <v>452876.6</v>
      </c>
      <c r="F5" s="31">
        <v>420972.3</v>
      </c>
      <c r="G5" s="285">
        <f>396572.3-54</f>
        <v>396518.3</v>
      </c>
      <c r="H5" s="186">
        <f>C5+D5+E5+F5+G5</f>
        <v>2116453.1</v>
      </c>
      <c r="J5" s="188"/>
    </row>
    <row r="7" spans="1:10" ht="15.75" x14ac:dyDescent="0.25">
      <c r="A7" s="182" t="s">
        <v>276</v>
      </c>
      <c r="B7" s="31"/>
      <c r="C7" s="181">
        <v>2014</v>
      </c>
      <c r="D7" s="181">
        <v>2015</v>
      </c>
      <c r="E7" s="181">
        <v>2016</v>
      </c>
      <c r="F7" s="181">
        <v>2017</v>
      </c>
      <c r="G7" s="181">
        <v>2018</v>
      </c>
      <c r="H7" s="31"/>
    </row>
    <row r="8" spans="1:10" x14ac:dyDescent="0.25">
      <c r="A8" s="23" t="s">
        <v>2</v>
      </c>
      <c r="B8" s="31"/>
      <c r="C8" s="33">
        <f t="shared" ref="C8:H8" si="1">C9+C10+C11</f>
        <v>49517.5</v>
      </c>
      <c r="D8" s="33">
        <f t="shared" si="1"/>
        <v>38376.800000000003</v>
      </c>
      <c r="E8" s="33">
        <f t="shared" si="1"/>
        <v>43600.1</v>
      </c>
      <c r="F8" s="33">
        <f t="shared" si="1"/>
        <v>38151.5</v>
      </c>
      <c r="G8" s="33">
        <f t="shared" si="1"/>
        <v>38151.5</v>
      </c>
      <c r="H8" s="33">
        <f t="shared" si="1"/>
        <v>207797.4</v>
      </c>
      <c r="J8" s="183"/>
    </row>
    <row r="9" spans="1:10" x14ac:dyDescent="0.25">
      <c r="A9" s="23" t="s">
        <v>3</v>
      </c>
      <c r="B9" s="31"/>
      <c r="C9" s="31">
        <v>36747.599999999999</v>
      </c>
      <c r="D9" s="186">
        <v>27768.799999999999</v>
      </c>
      <c r="E9" s="31">
        <v>31261.7</v>
      </c>
      <c r="F9" s="31">
        <v>29564.6</v>
      </c>
      <c r="G9" s="31">
        <v>29564.6</v>
      </c>
      <c r="H9" s="186">
        <f>C9+D9+E9+F9+G9</f>
        <v>154907.29999999999</v>
      </c>
    </row>
    <row r="10" spans="1:10" x14ac:dyDescent="0.25">
      <c r="A10" s="23" t="s">
        <v>4</v>
      </c>
      <c r="B10" s="31"/>
      <c r="C10" s="31"/>
      <c r="D10" s="186">
        <v>722.4</v>
      </c>
      <c r="E10" s="186">
        <v>2386</v>
      </c>
      <c r="F10" s="31"/>
      <c r="G10" s="31"/>
      <c r="H10" s="31">
        <f>C10+D10+E10+F10+G10</f>
        <v>3108.4</v>
      </c>
    </row>
    <row r="11" spans="1:10" x14ac:dyDescent="0.25">
      <c r="A11" s="23" t="s">
        <v>5</v>
      </c>
      <c r="B11" s="31"/>
      <c r="C11" s="31">
        <v>12769.9</v>
      </c>
      <c r="D11" s="186">
        <v>9885.6</v>
      </c>
      <c r="E11" s="31">
        <v>9952.4</v>
      </c>
      <c r="F11" s="31">
        <v>8586.9</v>
      </c>
      <c r="G11" s="31">
        <v>8586.9</v>
      </c>
      <c r="H11" s="186">
        <f>C11+D11+E11+F11+G11</f>
        <v>49781.700000000004</v>
      </c>
      <c r="J11" s="187"/>
    </row>
    <row r="13" spans="1:10" ht="15.75" x14ac:dyDescent="0.25">
      <c r="A13" s="182" t="s">
        <v>277</v>
      </c>
      <c r="B13" s="31"/>
      <c r="C13" s="181">
        <v>2014</v>
      </c>
      <c r="D13" s="181">
        <v>2015</v>
      </c>
      <c r="E13" s="181">
        <v>2016</v>
      </c>
      <c r="F13" s="181">
        <v>2017</v>
      </c>
      <c r="G13" s="181">
        <v>2018</v>
      </c>
      <c r="H13" s="31"/>
    </row>
    <row r="14" spans="1:10" x14ac:dyDescent="0.25">
      <c r="A14" s="23" t="s">
        <v>2</v>
      </c>
      <c r="B14" s="31"/>
      <c r="C14" s="33">
        <f t="shared" ref="C14:H14" si="2">C15+C16+C17</f>
        <v>48204</v>
      </c>
      <c r="D14" s="33">
        <f t="shared" si="2"/>
        <v>49476.800000000003</v>
      </c>
      <c r="E14" s="33">
        <f t="shared" si="2"/>
        <v>50200.09</v>
      </c>
      <c r="F14" s="33">
        <f t="shared" si="2"/>
        <v>48250.5</v>
      </c>
      <c r="G14" s="33">
        <f t="shared" si="2"/>
        <v>48250.5</v>
      </c>
      <c r="H14" s="33">
        <f t="shared" si="2"/>
        <v>244381.89</v>
      </c>
    </row>
    <row r="15" spans="1:10" x14ac:dyDescent="0.25">
      <c r="A15" s="23" t="s">
        <v>3</v>
      </c>
      <c r="B15" s="31"/>
      <c r="C15" s="31"/>
      <c r="D15" s="31"/>
      <c r="E15" s="31"/>
      <c r="F15" s="31"/>
      <c r="G15" s="31"/>
      <c r="H15" s="31">
        <f>C15+D15+E15+F15+G15</f>
        <v>0</v>
      </c>
    </row>
    <row r="16" spans="1:10" x14ac:dyDescent="0.25">
      <c r="A16" s="23" t="s">
        <v>4</v>
      </c>
      <c r="B16" s="31"/>
      <c r="C16" s="31"/>
      <c r="D16" s="31"/>
      <c r="E16" s="31"/>
      <c r="F16" s="31"/>
      <c r="G16" s="31"/>
      <c r="H16" s="31">
        <f>C16+D16+E16+F16+G16</f>
        <v>0</v>
      </c>
    </row>
    <row r="17" spans="1:8" x14ac:dyDescent="0.25">
      <c r="A17" s="23" t="s">
        <v>5</v>
      </c>
      <c r="B17" s="31"/>
      <c r="C17" s="186">
        <v>48204</v>
      </c>
      <c r="D17" s="186">
        <v>49476.800000000003</v>
      </c>
      <c r="E17" s="186">
        <v>50200.09</v>
      </c>
      <c r="F17" s="31">
        <v>48250.5</v>
      </c>
      <c r="G17" s="31">
        <v>48250.5</v>
      </c>
      <c r="H17" s="186">
        <f>G17+F17+E17+D17+C17</f>
        <v>244381.89</v>
      </c>
    </row>
    <row r="19" spans="1:8" ht="15.75" x14ac:dyDescent="0.25">
      <c r="A19" s="182" t="s">
        <v>278</v>
      </c>
      <c r="B19" s="31"/>
      <c r="C19" s="181">
        <v>2014</v>
      </c>
      <c r="D19" s="181">
        <v>2015</v>
      </c>
      <c r="E19" s="181">
        <v>2016</v>
      </c>
      <c r="F19" s="181">
        <v>2017</v>
      </c>
      <c r="G19" s="181">
        <v>2018</v>
      </c>
      <c r="H19" s="31"/>
    </row>
    <row r="20" spans="1:8" x14ac:dyDescent="0.25">
      <c r="A20" s="23" t="s">
        <v>2</v>
      </c>
      <c r="B20" s="31"/>
      <c r="C20" s="33">
        <f t="shared" ref="C20:H20" si="3">C21+C22+C23</f>
        <v>173.5</v>
      </c>
      <c r="D20" s="33">
        <f t="shared" si="3"/>
        <v>124</v>
      </c>
      <c r="E20" s="33">
        <f t="shared" si="3"/>
        <v>156</v>
      </c>
      <c r="F20" s="33">
        <f t="shared" si="3"/>
        <v>156</v>
      </c>
      <c r="G20" s="33">
        <f t="shared" si="3"/>
        <v>156</v>
      </c>
      <c r="H20" s="33">
        <f t="shared" si="3"/>
        <v>765.5</v>
      </c>
    </row>
    <row r="21" spans="1:8" x14ac:dyDescent="0.25">
      <c r="A21" s="23" t="s">
        <v>3</v>
      </c>
      <c r="B21" s="31"/>
      <c r="C21" s="31"/>
      <c r="D21" s="31"/>
      <c r="E21" s="31"/>
      <c r="F21" s="31"/>
      <c r="G21" s="31"/>
      <c r="H21" s="31">
        <f>C21+D21+E21+F21+G21</f>
        <v>0</v>
      </c>
    </row>
    <row r="22" spans="1:8" x14ac:dyDescent="0.25">
      <c r="A22" s="23" t="s">
        <v>4</v>
      </c>
      <c r="B22" s="31"/>
      <c r="C22" s="31"/>
      <c r="D22" s="31"/>
      <c r="E22" s="31"/>
      <c r="F22" s="31"/>
      <c r="G22" s="31"/>
      <c r="H22" s="31">
        <f>C22+D22+E22+F22+G22</f>
        <v>0</v>
      </c>
    </row>
    <row r="23" spans="1:8" x14ac:dyDescent="0.25">
      <c r="A23" s="23" t="s">
        <v>5</v>
      </c>
      <c r="B23" s="31"/>
      <c r="C23" s="31">
        <v>173.5</v>
      </c>
      <c r="D23" s="186">
        <v>124</v>
      </c>
      <c r="E23" s="186">
        <v>156</v>
      </c>
      <c r="F23" s="186">
        <v>156</v>
      </c>
      <c r="G23" s="186">
        <v>156</v>
      </c>
      <c r="H23" s="31">
        <f>C23+D23+E23+F23+G23</f>
        <v>765.5</v>
      </c>
    </row>
    <row r="25" spans="1:8" ht="15.75" x14ac:dyDescent="0.25">
      <c r="A25" s="182" t="s">
        <v>279</v>
      </c>
      <c r="B25" s="31"/>
      <c r="C25" s="181">
        <v>2014</v>
      </c>
      <c r="D25" s="181">
        <v>2015</v>
      </c>
      <c r="E25" s="181">
        <v>2016</v>
      </c>
      <c r="F25" s="181">
        <v>2017</v>
      </c>
      <c r="G25" s="181">
        <v>2018</v>
      </c>
      <c r="H25" s="31"/>
    </row>
    <row r="26" spans="1:8" x14ac:dyDescent="0.25">
      <c r="A26" s="23" t="s">
        <v>2</v>
      </c>
      <c r="B26" s="31"/>
      <c r="C26" s="33">
        <f t="shared" ref="C26:H26" si="4">C27+C28+C29</f>
        <v>62561.1</v>
      </c>
      <c r="D26" s="33">
        <f t="shared" si="4"/>
        <v>63567.1</v>
      </c>
      <c r="E26" s="33">
        <f t="shared" si="4"/>
        <v>72143.3</v>
      </c>
      <c r="F26" s="33">
        <f t="shared" si="4"/>
        <v>79882.399999999994</v>
      </c>
      <c r="G26" s="33">
        <f t="shared" si="4"/>
        <v>79882.399999999994</v>
      </c>
      <c r="H26" s="33">
        <f t="shared" si="4"/>
        <v>358036.30000000005</v>
      </c>
    </row>
    <row r="27" spans="1:8" x14ac:dyDescent="0.25">
      <c r="A27" s="23" t="s">
        <v>3</v>
      </c>
      <c r="B27" s="31"/>
      <c r="C27" s="31">
        <v>62501.1</v>
      </c>
      <c r="D27" s="31">
        <v>63507.1</v>
      </c>
      <c r="E27" s="31">
        <v>72083.3</v>
      </c>
      <c r="F27" s="31">
        <v>79822.399999999994</v>
      </c>
      <c r="G27" s="31">
        <v>79822.399999999994</v>
      </c>
      <c r="H27" s="31">
        <f>C27+D27+E27+F27+G27</f>
        <v>357736.30000000005</v>
      </c>
    </row>
    <row r="28" spans="1:8" x14ac:dyDescent="0.25">
      <c r="A28" s="23" t="s">
        <v>4</v>
      </c>
      <c r="B28" s="31"/>
      <c r="C28" s="31"/>
      <c r="D28" s="31"/>
      <c r="E28" s="31"/>
      <c r="F28" s="31"/>
      <c r="G28" s="31"/>
      <c r="H28" s="31">
        <f>C28+D28+E28+F28+G28</f>
        <v>0</v>
      </c>
    </row>
    <row r="29" spans="1:8" x14ac:dyDescent="0.25">
      <c r="A29" s="23" t="s">
        <v>5</v>
      </c>
      <c r="B29" s="31"/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f>C29+D29+E29+F29+G29</f>
        <v>300</v>
      </c>
    </row>
    <row r="31" spans="1:8" ht="15.75" x14ac:dyDescent="0.25">
      <c r="A31" s="182"/>
      <c r="B31" s="31"/>
      <c r="C31" s="181">
        <v>2014</v>
      </c>
      <c r="D31" s="286">
        <v>2015</v>
      </c>
      <c r="E31" s="181">
        <v>2016</v>
      </c>
      <c r="F31" s="181">
        <v>2017</v>
      </c>
      <c r="G31" s="181">
        <v>2018</v>
      </c>
      <c r="H31" s="31"/>
    </row>
    <row r="32" spans="1:8" x14ac:dyDescent="0.25">
      <c r="A32" s="23" t="s">
        <v>2</v>
      </c>
      <c r="B32" s="31"/>
      <c r="C32" s="33">
        <f t="shared" ref="C32:H32" si="5">C33+C34+C35</f>
        <v>1193503.6000000001</v>
      </c>
      <c r="D32" s="33">
        <f t="shared" si="5"/>
        <v>1206554.5</v>
      </c>
      <c r="E32" s="33">
        <f t="shared" si="5"/>
        <v>1256602.99</v>
      </c>
      <c r="F32" s="33">
        <f t="shared" si="5"/>
        <v>1248383.8</v>
      </c>
      <c r="G32" s="33">
        <f t="shared" si="5"/>
        <v>1223929.8</v>
      </c>
      <c r="H32" s="33">
        <f t="shared" si="5"/>
        <v>6128974.6899999995</v>
      </c>
    </row>
    <row r="33" spans="1:8" x14ac:dyDescent="0.25">
      <c r="A33" s="23" t="s">
        <v>3</v>
      </c>
      <c r="B33" s="31"/>
      <c r="C33" s="186">
        <f t="shared" ref="C33:G35" si="6">C3+C9+C15+C21+C27</f>
        <v>722111.5</v>
      </c>
      <c r="D33" s="186">
        <f t="shared" si="6"/>
        <v>709320</v>
      </c>
      <c r="E33" s="186">
        <f t="shared" si="6"/>
        <v>740971.9</v>
      </c>
      <c r="F33" s="186">
        <f t="shared" si="6"/>
        <v>770358.1</v>
      </c>
      <c r="G33" s="186">
        <f t="shared" si="6"/>
        <v>770358.1</v>
      </c>
      <c r="H33" s="186">
        <f>C33+D33+E33+F33+G33</f>
        <v>3713119.6</v>
      </c>
    </row>
    <row r="34" spans="1:8" x14ac:dyDescent="0.25">
      <c r="A34" s="23" t="s">
        <v>4</v>
      </c>
      <c r="B34" s="31"/>
      <c r="C34" s="186">
        <f t="shared" si="6"/>
        <v>0</v>
      </c>
      <c r="D34" s="186">
        <f t="shared" si="6"/>
        <v>1786.9</v>
      </c>
      <c r="E34" s="186">
        <f t="shared" si="6"/>
        <v>2386</v>
      </c>
      <c r="F34" s="186">
        <f t="shared" si="6"/>
        <v>0</v>
      </c>
      <c r="G34" s="186">
        <f t="shared" si="6"/>
        <v>0</v>
      </c>
      <c r="H34" s="186">
        <f>C34+D34+E34+F34+G34</f>
        <v>4172.8999999999996</v>
      </c>
    </row>
    <row r="35" spans="1:8" x14ac:dyDescent="0.25">
      <c r="A35" s="23" t="s">
        <v>5</v>
      </c>
      <c r="B35" s="31"/>
      <c r="C35" s="33">
        <f t="shared" si="6"/>
        <v>471392.10000000003</v>
      </c>
      <c r="D35" s="33">
        <f t="shared" si="6"/>
        <v>495447.6</v>
      </c>
      <c r="E35" s="33">
        <f>E5+E11+E17+E23+E29</f>
        <v>513245.08999999997</v>
      </c>
      <c r="F35" s="33">
        <f t="shared" si="6"/>
        <v>478025.7</v>
      </c>
      <c r="G35" s="33">
        <f t="shared" si="6"/>
        <v>453571.7</v>
      </c>
      <c r="H35" s="186">
        <f>C35+D35+E35+F35+G35</f>
        <v>2411682.19</v>
      </c>
    </row>
    <row r="36" spans="1:8" x14ac:dyDescent="0.25">
      <c r="D36" s="30" t="s">
        <v>5</v>
      </c>
      <c r="E36" s="30">
        <v>494559.4</v>
      </c>
    </row>
    <row r="37" spans="1:8" x14ac:dyDescent="0.25">
      <c r="D37" s="55"/>
      <c r="E37" s="55">
        <f>E35-E36</f>
        <v>18685.689999999944</v>
      </c>
      <c r="F37" s="183"/>
      <c r="G37" s="183"/>
    </row>
    <row r="38" spans="1:8" x14ac:dyDescent="0.25">
      <c r="D38" s="30" t="s">
        <v>3</v>
      </c>
      <c r="E38" s="30">
        <v>742882.6</v>
      </c>
      <c r="F38" s="183"/>
      <c r="G38" s="183"/>
    </row>
    <row r="39" spans="1:8" x14ac:dyDescent="0.25">
      <c r="E39" s="187">
        <f>E33-E38</f>
        <v>-1910.6999999999534</v>
      </c>
      <c r="F39" s="183"/>
      <c r="G39" s="18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36" customWidth="1"/>
    <col min="2" max="2" width="27.28515625" style="136" customWidth="1"/>
    <col min="3" max="3" width="9" style="136" customWidth="1"/>
    <col min="4" max="4" width="10.5703125" style="136" customWidth="1"/>
    <col min="5" max="7" width="9.140625" style="136" customWidth="1"/>
    <col min="8" max="8" width="10.28515625" style="136" customWidth="1"/>
    <col min="9" max="9" width="8.85546875" style="136" customWidth="1"/>
    <col min="10" max="10" width="13.140625" style="136" customWidth="1"/>
    <col min="11" max="11" width="13.28515625" style="136" customWidth="1"/>
    <col min="12" max="12" width="11.85546875" style="136" customWidth="1"/>
    <col min="13" max="13" width="10.42578125" style="136" customWidth="1"/>
    <col min="14" max="14" width="9.7109375" style="136" customWidth="1"/>
    <col min="15" max="15" width="11.42578125" style="136" customWidth="1"/>
    <col min="16" max="16" width="37" style="136" customWidth="1"/>
    <col min="17" max="260" width="9.140625" style="136"/>
    <col min="261" max="261" width="34.28515625" style="136" customWidth="1"/>
    <col min="262" max="262" width="17.28515625" style="136" customWidth="1"/>
    <col min="263" max="263" width="11.28515625" style="136" customWidth="1"/>
    <col min="264" max="264" width="10.140625" style="136" customWidth="1"/>
    <col min="265" max="265" width="9.42578125" style="136" customWidth="1"/>
    <col min="266" max="266" width="10.85546875" style="136" customWidth="1"/>
    <col min="267" max="267" width="8.140625" style="136" customWidth="1"/>
    <col min="268" max="268" width="10" style="136" customWidth="1"/>
    <col min="269" max="269" width="10.7109375" style="136" bestFit="1" customWidth="1"/>
    <col min="270" max="270" width="10.28515625" style="136" bestFit="1" customWidth="1"/>
    <col min="271" max="271" width="10.42578125" style="136" customWidth="1"/>
    <col min="272" max="516" width="9.140625" style="136"/>
    <col min="517" max="517" width="34.28515625" style="136" customWidth="1"/>
    <col min="518" max="518" width="17.28515625" style="136" customWidth="1"/>
    <col min="519" max="519" width="11.28515625" style="136" customWidth="1"/>
    <col min="520" max="520" width="10.140625" style="136" customWidth="1"/>
    <col min="521" max="521" width="9.42578125" style="136" customWidth="1"/>
    <col min="522" max="522" width="10.85546875" style="136" customWidth="1"/>
    <col min="523" max="523" width="8.140625" style="136" customWidth="1"/>
    <col min="524" max="524" width="10" style="136" customWidth="1"/>
    <col min="525" max="525" width="10.7109375" style="136" bestFit="1" customWidth="1"/>
    <col min="526" max="526" width="10.28515625" style="136" bestFit="1" customWidth="1"/>
    <col min="527" max="527" width="10.42578125" style="136" customWidth="1"/>
    <col min="528" max="772" width="9.140625" style="136"/>
    <col min="773" max="773" width="34.28515625" style="136" customWidth="1"/>
    <col min="774" max="774" width="17.28515625" style="136" customWidth="1"/>
    <col min="775" max="775" width="11.28515625" style="136" customWidth="1"/>
    <col min="776" max="776" width="10.140625" style="136" customWidth="1"/>
    <col min="777" max="777" width="9.42578125" style="136" customWidth="1"/>
    <col min="778" max="778" width="10.85546875" style="136" customWidth="1"/>
    <col min="779" max="779" width="8.140625" style="136" customWidth="1"/>
    <col min="780" max="780" width="10" style="136" customWidth="1"/>
    <col min="781" max="781" width="10.7109375" style="136" bestFit="1" customWidth="1"/>
    <col min="782" max="782" width="10.28515625" style="136" bestFit="1" customWidth="1"/>
    <col min="783" max="783" width="10.42578125" style="136" customWidth="1"/>
    <col min="784" max="1028" width="9.140625" style="136"/>
    <col min="1029" max="1029" width="34.28515625" style="136" customWidth="1"/>
    <col min="1030" max="1030" width="17.28515625" style="136" customWidth="1"/>
    <col min="1031" max="1031" width="11.28515625" style="136" customWidth="1"/>
    <col min="1032" max="1032" width="10.140625" style="136" customWidth="1"/>
    <col min="1033" max="1033" width="9.42578125" style="136" customWidth="1"/>
    <col min="1034" max="1034" width="10.85546875" style="136" customWidth="1"/>
    <col min="1035" max="1035" width="8.140625" style="136" customWidth="1"/>
    <col min="1036" max="1036" width="10" style="136" customWidth="1"/>
    <col min="1037" max="1037" width="10.7109375" style="136" bestFit="1" customWidth="1"/>
    <col min="1038" max="1038" width="10.28515625" style="136" bestFit="1" customWidth="1"/>
    <col min="1039" max="1039" width="10.42578125" style="136" customWidth="1"/>
    <col min="1040" max="1284" width="9.140625" style="136"/>
    <col min="1285" max="1285" width="34.28515625" style="136" customWidth="1"/>
    <col min="1286" max="1286" width="17.28515625" style="136" customWidth="1"/>
    <col min="1287" max="1287" width="11.28515625" style="136" customWidth="1"/>
    <col min="1288" max="1288" width="10.140625" style="136" customWidth="1"/>
    <col min="1289" max="1289" width="9.42578125" style="136" customWidth="1"/>
    <col min="1290" max="1290" width="10.85546875" style="136" customWidth="1"/>
    <col min="1291" max="1291" width="8.140625" style="136" customWidth="1"/>
    <col min="1292" max="1292" width="10" style="136" customWidth="1"/>
    <col min="1293" max="1293" width="10.7109375" style="136" bestFit="1" customWidth="1"/>
    <col min="1294" max="1294" width="10.28515625" style="136" bestFit="1" customWidth="1"/>
    <col min="1295" max="1295" width="10.42578125" style="136" customWidth="1"/>
    <col min="1296" max="1540" width="9.140625" style="136"/>
    <col min="1541" max="1541" width="34.28515625" style="136" customWidth="1"/>
    <col min="1542" max="1542" width="17.28515625" style="136" customWidth="1"/>
    <col min="1543" max="1543" width="11.28515625" style="136" customWidth="1"/>
    <col min="1544" max="1544" width="10.140625" style="136" customWidth="1"/>
    <col min="1545" max="1545" width="9.42578125" style="136" customWidth="1"/>
    <col min="1546" max="1546" width="10.85546875" style="136" customWidth="1"/>
    <col min="1547" max="1547" width="8.140625" style="136" customWidth="1"/>
    <col min="1548" max="1548" width="10" style="136" customWidth="1"/>
    <col min="1549" max="1549" width="10.7109375" style="136" bestFit="1" customWidth="1"/>
    <col min="1550" max="1550" width="10.28515625" style="136" bestFit="1" customWidth="1"/>
    <col min="1551" max="1551" width="10.42578125" style="136" customWidth="1"/>
    <col min="1552" max="1796" width="9.140625" style="136"/>
    <col min="1797" max="1797" width="34.28515625" style="136" customWidth="1"/>
    <col min="1798" max="1798" width="17.28515625" style="136" customWidth="1"/>
    <col min="1799" max="1799" width="11.28515625" style="136" customWidth="1"/>
    <col min="1800" max="1800" width="10.140625" style="136" customWidth="1"/>
    <col min="1801" max="1801" width="9.42578125" style="136" customWidth="1"/>
    <col min="1802" max="1802" width="10.85546875" style="136" customWidth="1"/>
    <col min="1803" max="1803" width="8.140625" style="136" customWidth="1"/>
    <col min="1804" max="1804" width="10" style="136" customWidth="1"/>
    <col min="1805" max="1805" width="10.7109375" style="136" bestFit="1" customWidth="1"/>
    <col min="1806" max="1806" width="10.28515625" style="136" bestFit="1" customWidth="1"/>
    <col min="1807" max="1807" width="10.42578125" style="136" customWidth="1"/>
    <col min="1808" max="2052" width="9.140625" style="136"/>
    <col min="2053" max="2053" width="34.28515625" style="136" customWidth="1"/>
    <col min="2054" max="2054" width="17.28515625" style="136" customWidth="1"/>
    <col min="2055" max="2055" width="11.28515625" style="136" customWidth="1"/>
    <col min="2056" max="2056" width="10.140625" style="136" customWidth="1"/>
    <col min="2057" max="2057" width="9.42578125" style="136" customWidth="1"/>
    <col min="2058" max="2058" width="10.85546875" style="136" customWidth="1"/>
    <col min="2059" max="2059" width="8.140625" style="136" customWidth="1"/>
    <col min="2060" max="2060" width="10" style="136" customWidth="1"/>
    <col min="2061" max="2061" width="10.7109375" style="136" bestFit="1" customWidth="1"/>
    <col min="2062" max="2062" width="10.28515625" style="136" bestFit="1" customWidth="1"/>
    <col min="2063" max="2063" width="10.42578125" style="136" customWidth="1"/>
    <col min="2064" max="2308" width="9.140625" style="136"/>
    <col min="2309" max="2309" width="34.28515625" style="136" customWidth="1"/>
    <col min="2310" max="2310" width="17.28515625" style="136" customWidth="1"/>
    <col min="2311" max="2311" width="11.28515625" style="136" customWidth="1"/>
    <col min="2312" max="2312" width="10.140625" style="136" customWidth="1"/>
    <col min="2313" max="2313" width="9.42578125" style="136" customWidth="1"/>
    <col min="2314" max="2314" width="10.85546875" style="136" customWidth="1"/>
    <col min="2315" max="2315" width="8.140625" style="136" customWidth="1"/>
    <col min="2316" max="2316" width="10" style="136" customWidth="1"/>
    <col min="2317" max="2317" width="10.7109375" style="136" bestFit="1" customWidth="1"/>
    <col min="2318" max="2318" width="10.28515625" style="136" bestFit="1" customWidth="1"/>
    <col min="2319" max="2319" width="10.42578125" style="136" customWidth="1"/>
    <col min="2320" max="2564" width="9.140625" style="136"/>
    <col min="2565" max="2565" width="34.28515625" style="136" customWidth="1"/>
    <col min="2566" max="2566" width="17.28515625" style="136" customWidth="1"/>
    <col min="2567" max="2567" width="11.28515625" style="136" customWidth="1"/>
    <col min="2568" max="2568" width="10.140625" style="136" customWidth="1"/>
    <col min="2569" max="2569" width="9.42578125" style="136" customWidth="1"/>
    <col min="2570" max="2570" width="10.85546875" style="136" customWidth="1"/>
    <col min="2571" max="2571" width="8.140625" style="136" customWidth="1"/>
    <col min="2572" max="2572" width="10" style="136" customWidth="1"/>
    <col min="2573" max="2573" width="10.7109375" style="136" bestFit="1" customWidth="1"/>
    <col min="2574" max="2574" width="10.28515625" style="136" bestFit="1" customWidth="1"/>
    <col min="2575" max="2575" width="10.42578125" style="136" customWidth="1"/>
    <col min="2576" max="2820" width="9.140625" style="136"/>
    <col min="2821" max="2821" width="34.28515625" style="136" customWidth="1"/>
    <col min="2822" max="2822" width="17.28515625" style="136" customWidth="1"/>
    <col min="2823" max="2823" width="11.28515625" style="136" customWidth="1"/>
    <col min="2824" max="2824" width="10.140625" style="136" customWidth="1"/>
    <col min="2825" max="2825" width="9.42578125" style="136" customWidth="1"/>
    <col min="2826" max="2826" width="10.85546875" style="136" customWidth="1"/>
    <col min="2827" max="2827" width="8.140625" style="136" customWidth="1"/>
    <col min="2828" max="2828" width="10" style="136" customWidth="1"/>
    <col min="2829" max="2829" width="10.7109375" style="136" bestFit="1" customWidth="1"/>
    <col min="2830" max="2830" width="10.28515625" style="136" bestFit="1" customWidth="1"/>
    <col min="2831" max="2831" width="10.42578125" style="136" customWidth="1"/>
    <col min="2832" max="3076" width="9.140625" style="136"/>
    <col min="3077" max="3077" width="34.28515625" style="136" customWidth="1"/>
    <col min="3078" max="3078" width="17.28515625" style="136" customWidth="1"/>
    <col min="3079" max="3079" width="11.28515625" style="136" customWidth="1"/>
    <col min="3080" max="3080" width="10.140625" style="136" customWidth="1"/>
    <col min="3081" max="3081" width="9.42578125" style="136" customWidth="1"/>
    <col min="3082" max="3082" width="10.85546875" style="136" customWidth="1"/>
    <col min="3083" max="3083" width="8.140625" style="136" customWidth="1"/>
    <col min="3084" max="3084" width="10" style="136" customWidth="1"/>
    <col min="3085" max="3085" width="10.7109375" style="136" bestFit="1" customWidth="1"/>
    <col min="3086" max="3086" width="10.28515625" style="136" bestFit="1" customWidth="1"/>
    <col min="3087" max="3087" width="10.42578125" style="136" customWidth="1"/>
    <col min="3088" max="3332" width="9.140625" style="136"/>
    <col min="3333" max="3333" width="34.28515625" style="136" customWidth="1"/>
    <col min="3334" max="3334" width="17.28515625" style="136" customWidth="1"/>
    <col min="3335" max="3335" width="11.28515625" style="136" customWidth="1"/>
    <col min="3336" max="3336" width="10.140625" style="136" customWidth="1"/>
    <col min="3337" max="3337" width="9.42578125" style="136" customWidth="1"/>
    <col min="3338" max="3338" width="10.85546875" style="136" customWidth="1"/>
    <col min="3339" max="3339" width="8.140625" style="136" customWidth="1"/>
    <col min="3340" max="3340" width="10" style="136" customWidth="1"/>
    <col min="3341" max="3341" width="10.7109375" style="136" bestFit="1" customWidth="1"/>
    <col min="3342" max="3342" width="10.28515625" style="136" bestFit="1" customWidth="1"/>
    <col min="3343" max="3343" width="10.42578125" style="136" customWidth="1"/>
    <col min="3344" max="3588" width="9.140625" style="136"/>
    <col min="3589" max="3589" width="34.28515625" style="136" customWidth="1"/>
    <col min="3590" max="3590" width="17.28515625" style="136" customWidth="1"/>
    <col min="3591" max="3591" width="11.28515625" style="136" customWidth="1"/>
    <col min="3592" max="3592" width="10.140625" style="136" customWidth="1"/>
    <col min="3593" max="3593" width="9.42578125" style="136" customWidth="1"/>
    <col min="3594" max="3594" width="10.85546875" style="136" customWidth="1"/>
    <col min="3595" max="3595" width="8.140625" style="136" customWidth="1"/>
    <col min="3596" max="3596" width="10" style="136" customWidth="1"/>
    <col min="3597" max="3597" width="10.7109375" style="136" bestFit="1" customWidth="1"/>
    <col min="3598" max="3598" width="10.28515625" style="136" bestFit="1" customWidth="1"/>
    <col min="3599" max="3599" width="10.42578125" style="136" customWidth="1"/>
    <col min="3600" max="3844" width="9.140625" style="136"/>
    <col min="3845" max="3845" width="34.28515625" style="136" customWidth="1"/>
    <col min="3846" max="3846" width="17.28515625" style="136" customWidth="1"/>
    <col min="3847" max="3847" width="11.28515625" style="136" customWidth="1"/>
    <col min="3848" max="3848" width="10.140625" style="136" customWidth="1"/>
    <col min="3849" max="3849" width="9.42578125" style="136" customWidth="1"/>
    <col min="3850" max="3850" width="10.85546875" style="136" customWidth="1"/>
    <col min="3851" max="3851" width="8.140625" style="136" customWidth="1"/>
    <col min="3852" max="3852" width="10" style="136" customWidth="1"/>
    <col min="3853" max="3853" width="10.7109375" style="136" bestFit="1" customWidth="1"/>
    <col min="3854" max="3854" width="10.28515625" style="136" bestFit="1" customWidth="1"/>
    <col min="3855" max="3855" width="10.42578125" style="136" customWidth="1"/>
    <col min="3856" max="4100" width="9.140625" style="136"/>
    <col min="4101" max="4101" width="34.28515625" style="136" customWidth="1"/>
    <col min="4102" max="4102" width="17.28515625" style="136" customWidth="1"/>
    <col min="4103" max="4103" width="11.28515625" style="136" customWidth="1"/>
    <col min="4104" max="4104" width="10.140625" style="136" customWidth="1"/>
    <col min="4105" max="4105" width="9.42578125" style="136" customWidth="1"/>
    <col min="4106" max="4106" width="10.85546875" style="136" customWidth="1"/>
    <col min="4107" max="4107" width="8.140625" style="136" customWidth="1"/>
    <col min="4108" max="4108" width="10" style="136" customWidth="1"/>
    <col min="4109" max="4109" width="10.7109375" style="136" bestFit="1" customWidth="1"/>
    <col min="4110" max="4110" width="10.28515625" style="136" bestFit="1" customWidth="1"/>
    <col min="4111" max="4111" width="10.42578125" style="136" customWidth="1"/>
    <col min="4112" max="4356" width="9.140625" style="136"/>
    <col min="4357" max="4357" width="34.28515625" style="136" customWidth="1"/>
    <col min="4358" max="4358" width="17.28515625" style="136" customWidth="1"/>
    <col min="4359" max="4359" width="11.28515625" style="136" customWidth="1"/>
    <col min="4360" max="4360" width="10.140625" style="136" customWidth="1"/>
    <col min="4361" max="4361" width="9.42578125" style="136" customWidth="1"/>
    <col min="4362" max="4362" width="10.85546875" style="136" customWidth="1"/>
    <col min="4363" max="4363" width="8.140625" style="136" customWidth="1"/>
    <col min="4364" max="4364" width="10" style="136" customWidth="1"/>
    <col min="4365" max="4365" width="10.7109375" style="136" bestFit="1" customWidth="1"/>
    <col min="4366" max="4366" width="10.28515625" style="136" bestFit="1" customWidth="1"/>
    <col min="4367" max="4367" width="10.42578125" style="136" customWidth="1"/>
    <col min="4368" max="4612" width="9.140625" style="136"/>
    <col min="4613" max="4613" width="34.28515625" style="136" customWidth="1"/>
    <col min="4614" max="4614" width="17.28515625" style="136" customWidth="1"/>
    <col min="4615" max="4615" width="11.28515625" style="136" customWidth="1"/>
    <col min="4616" max="4616" width="10.140625" style="136" customWidth="1"/>
    <col min="4617" max="4617" width="9.42578125" style="136" customWidth="1"/>
    <col min="4618" max="4618" width="10.85546875" style="136" customWidth="1"/>
    <col min="4619" max="4619" width="8.140625" style="136" customWidth="1"/>
    <col min="4620" max="4620" width="10" style="136" customWidth="1"/>
    <col min="4621" max="4621" width="10.7109375" style="136" bestFit="1" customWidth="1"/>
    <col min="4622" max="4622" width="10.28515625" style="136" bestFit="1" customWidth="1"/>
    <col min="4623" max="4623" width="10.42578125" style="136" customWidth="1"/>
    <col min="4624" max="4868" width="9.140625" style="136"/>
    <col min="4869" max="4869" width="34.28515625" style="136" customWidth="1"/>
    <col min="4870" max="4870" width="17.28515625" style="136" customWidth="1"/>
    <col min="4871" max="4871" width="11.28515625" style="136" customWidth="1"/>
    <col min="4872" max="4872" width="10.140625" style="136" customWidth="1"/>
    <col min="4873" max="4873" width="9.42578125" style="136" customWidth="1"/>
    <col min="4874" max="4874" width="10.85546875" style="136" customWidth="1"/>
    <col min="4875" max="4875" width="8.140625" style="136" customWidth="1"/>
    <col min="4876" max="4876" width="10" style="136" customWidth="1"/>
    <col min="4877" max="4877" width="10.7109375" style="136" bestFit="1" customWidth="1"/>
    <col min="4878" max="4878" width="10.28515625" style="136" bestFit="1" customWidth="1"/>
    <col min="4879" max="4879" width="10.42578125" style="136" customWidth="1"/>
    <col min="4880" max="5124" width="9.140625" style="136"/>
    <col min="5125" max="5125" width="34.28515625" style="136" customWidth="1"/>
    <col min="5126" max="5126" width="17.28515625" style="136" customWidth="1"/>
    <col min="5127" max="5127" width="11.28515625" style="136" customWidth="1"/>
    <col min="5128" max="5128" width="10.140625" style="136" customWidth="1"/>
    <col min="5129" max="5129" width="9.42578125" style="136" customWidth="1"/>
    <col min="5130" max="5130" width="10.85546875" style="136" customWidth="1"/>
    <col min="5131" max="5131" width="8.140625" style="136" customWidth="1"/>
    <col min="5132" max="5132" width="10" style="136" customWidth="1"/>
    <col min="5133" max="5133" width="10.7109375" style="136" bestFit="1" customWidth="1"/>
    <col min="5134" max="5134" width="10.28515625" style="136" bestFit="1" customWidth="1"/>
    <col min="5135" max="5135" width="10.42578125" style="136" customWidth="1"/>
    <col min="5136" max="5380" width="9.140625" style="136"/>
    <col min="5381" max="5381" width="34.28515625" style="136" customWidth="1"/>
    <col min="5382" max="5382" width="17.28515625" style="136" customWidth="1"/>
    <col min="5383" max="5383" width="11.28515625" style="136" customWidth="1"/>
    <col min="5384" max="5384" width="10.140625" style="136" customWidth="1"/>
    <col min="5385" max="5385" width="9.42578125" style="136" customWidth="1"/>
    <col min="5386" max="5386" width="10.85546875" style="136" customWidth="1"/>
    <col min="5387" max="5387" width="8.140625" style="136" customWidth="1"/>
    <col min="5388" max="5388" width="10" style="136" customWidth="1"/>
    <col min="5389" max="5389" width="10.7109375" style="136" bestFit="1" customWidth="1"/>
    <col min="5390" max="5390" width="10.28515625" style="136" bestFit="1" customWidth="1"/>
    <col min="5391" max="5391" width="10.42578125" style="136" customWidth="1"/>
    <col min="5392" max="5636" width="9.140625" style="136"/>
    <col min="5637" max="5637" width="34.28515625" style="136" customWidth="1"/>
    <col min="5638" max="5638" width="17.28515625" style="136" customWidth="1"/>
    <col min="5639" max="5639" width="11.28515625" style="136" customWidth="1"/>
    <col min="5640" max="5640" width="10.140625" style="136" customWidth="1"/>
    <col min="5641" max="5641" width="9.42578125" style="136" customWidth="1"/>
    <col min="5642" max="5642" width="10.85546875" style="136" customWidth="1"/>
    <col min="5643" max="5643" width="8.140625" style="136" customWidth="1"/>
    <col min="5644" max="5644" width="10" style="136" customWidth="1"/>
    <col min="5645" max="5645" width="10.7109375" style="136" bestFit="1" customWidth="1"/>
    <col min="5646" max="5646" width="10.28515625" style="136" bestFit="1" customWidth="1"/>
    <col min="5647" max="5647" width="10.42578125" style="136" customWidth="1"/>
    <col min="5648" max="5892" width="9.140625" style="136"/>
    <col min="5893" max="5893" width="34.28515625" style="136" customWidth="1"/>
    <col min="5894" max="5894" width="17.28515625" style="136" customWidth="1"/>
    <col min="5895" max="5895" width="11.28515625" style="136" customWidth="1"/>
    <col min="5896" max="5896" width="10.140625" style="136" customWidth="1"/>
    <col min="5897" max="5897" width="9.42578125" style="136" customWidth="1"/>
    <col min="5898" max="5898" width="10.85546875" style="136" customWidth="1"/>
    <col min="5899" max="5899" width="8.140625" style="136" customWidth="1"/>
    <col min="5900" max="5900" width="10" style="136" customWidth="1"/>
    <col min="5901" max="5901" width="10.7109375" style="136" bestFit="1" customWidth="1"/>
    <col min="5902" max="5902" width="10.28515625" style="136" bestFit="1" customWidth="1"/>
    <col min="5903" max="5903" width="10.42578125" style="136" customWidth="1"/>
    <col min="5904" max="6148" width="9.140625" style="136"/>
    <col min="6149" max="6149" width="34.28515625" style="136" customWidth="1"/>
    <col min="6150" max="6150" width="17.28515625" style="136" customWidth="1"/>
    <col min="6151" max="6151" width="11.28515625" style="136" customWidth="1"/>
    <col min="6152" max="6152" width="10.140625" style="136" customWidth="1"/>
    <col min="6153" max="6153" width="9.42578125" style="136" customWidth="1"/>
    <col min="6154" max="6154" width="10.85546875" style="136" customWidth="1"/>
    <col min="6155" max="6155" width="8.140625" style="136" customWidth="1"/>
    <col min="6156" max="6156" width="10" style="136" customWidth="1"/>
    <col min="6157" max="6157" width="10.7109375" style="136" bestFit="1" customWidth="1"/>
    <col min="6158" max="6158" width="10.28515625" style="136" bestFit="1" customWidth="1"/>
    <col min="6159" max="6159" width="10.42578125" style="136" customWidth="1"/>
    <col min="6160" max="6404" width="9.140625" style="136"/>
    <col min="6405" max="6405" width="34.28515625" style="136" customWidth="1"/>
    <col min="6406" max="6406" width="17.28515625" style="136" customWidth="1"/>
    <col min="6407" max="6407" width="11.28515625" style="136" customWidth="1"/>
    <col min="6408" max="6408" width="10.140625" style="136" customWidth="1"/>
    <col min="6409" max="6409" width="9.42578125" style="136" customWidth="1"/>
    <col min="6410" max="6410" width="10.85546875" style="136" customWidth="1"/>
    <col min="6411" max="6411" width="8.140625" style="136" customWidth="1"/>
    <col min="6412" max="6412" width="10" style="136" customWidth="1"/>
    <col min="6413" max="6413" width="10.7109375" style="136" bestFit="1" customWidth="1"/>
    <col min="6414" max="6414" width="10.28515625" style="136" bestFit="1" customWidth="1"/>
    <col min="6415" max="6415" width="10.42578125" style="136" customWidth="1"/>
    <col min="6416" max="6660" width="9.140625" style="136"/>
    <col min="6661" max="6661" width="34.28515625" style="136" customWidth="1"/>
    <col min="6662" max="6662" width="17.28515625" style="136" customWidth="1"/>
    <col min="6663" max="6663" width="11.28515625" style="136" customWidth="1"/>
    <col min="6664" max="6664" width="10.140625" style="136" customWidth="1"/>
    <col min="6665" max="6665" width="9.42578125" style="136" customWidth="1"/>
    <col min="6666" max="6666" width="10.85546875" style="136" customWidth="1"/>
    <col min="6667" max="6667" width="8.140625" style="136" customWidth="1"/>
    <col min="6668" max="6668" width="10" style="136" customWidth="1"/>
    <col min="6669" max="6669" width="10.7109375" style="136" bestFit="1" customWidth="1"/>
    <col min="6670" max="6670" width="10.28515625" style="136" bestFit="1" customWidth="1"/>
    <col min="6671" max="6671" width="10.42578125" style="136" customWidth="1"/>
    <col min="6672" max="6916" width="9.140625" style="136"/>
    <col min="6917" max="6917" width="34.28515625" style="136" customWidth="1"/>
    <col min="6918" max="6918" width="17.28515625" style="136" customWidth="1"/>
    <col min="6919" max="6919" width="11.28515625" style="136" customWidth="1"/>
    <col min="6920" max="6920" width="10.140625" style="136" customWidth="1"/>
    <col min="6921" max="6921" width="9.42578125" style="136" customWidth="1"/>
    <col min="6922" max="6922" width="10.85546875" style="136" customWidth="1"/>
    <col min="6923" max="6923" width="8.140625" style="136" customWidth="1"/>
    <col min="6924" max="6924" width="10" style="136" customWidth="1"/>
    <col min="6925" max="6925" width="10.7109375" style="136" bestFit="1" customWidth="1"/>
    <col min="6926" max="6926" width="10.28515625" style="136" bestFit="1" customWidth="1"/>
    <col min="6927" max="6927" width="10.42578125" style="136" customWidth="1"/>
    <col min="6928" max="7172" width="9.140625" style="136"/>
    <col min="7173" max="7173" width="34.28515625" style="136" customWidth="1"/>
    <col min="7174" max="7174" width="17.28515625" style="136" customWidth="1"/>
    <col min="7175" max="7175" width="11.28515625" style="136" customWidth="1"/>
    <col min="7176" max="7176" width="10.140625" style="136" customWidth="1"/>
    <col min="7177" max="7177" width="9.42578125" style="136" customWidth="1"/>
    <col min="7178" max="7178" width="10.85546875" style="136" customWidth="1"/>
    <col min="7179" max="7179" width="8.140625" style="136" customWidth="1"/>
    <col min="7180" max="7180" width="10" style="136" customWidth="1"/>
    <col min="7181" max="7181" width="10.7109375" style="136" bestFit="1" customWidth="1"/>
    <col min="7182" max="7182" width="10.28515625" style="136" bestFit="1" customWidth="1"/>
    <col min="7183" max="7183" width="10.42578125" style="136" customWidth="1"/>
    <col min="7184" max="7428" width="9.140625" style="136"/>
    <col min="7429" max="7429" width="34.28515625" style="136" customWidth="1"/>
    <col min="7430" max="7430" width="17.28515625" style="136" customWidth="1"/>
    <col min="7431" max="7431" width="11.28515625" style="136" customWidth="1"/>
    <col min="7432" max="7432" width="10.140625" style="136" customWidth="1"/>
    <col min="7433" max="7433" width="9.42578125" style="136" customWidth="1"/>
    <col min="7434" max="7434" width="10.85546875" style="136" customWidth="1"/>
    <col min="7435" max="7435" width="8.140625" style="136" customWidth="1"/>
    <col min="7436" max="7436" width="10" style="136" customWidth="1"/>
    <col min="7437" max="7437" width="10.7109375" style="136" bestFit="1" customWidth="1"/>
    <col min="7438" max="7438" width="10.28515625" style="136" bestFit="1" customWidth="1"/>
    <col min="7439" max="7439" width="10.42578125" style="136" customWidth="1"/>
    <col min="7440" max="7684" width="9.140625" style="136"/>
    <col min="7685" max="7685" width="34.28515625" style="136" customWidth="1"/>
    <col min="7686" max="7686" width="17.28515625" style="136" customWidth="1"/>
    <col min="7687" max="7687" width="11.28515625" style="136" customWidth="1"/>
    <col min="7688" max="7688" width="10.140625" style="136" customWidth="1"/>
    <col min="7689" max="7689" width="9.42578125" style="136" customWidth="1"/>
    <col min="7690" max="7690" width="10.85546875" style="136" customWidth="1"/>
    <col min="7691" max="7691" width="8.140625" style="136" customWidth="1"/>
    <col min="7692" max="7692" width="10" style="136" customWidth="1"/>
    <col min="7693" max="7693" width="10.7109375" style="136" bestFit="1" customWidth="1"/>
    <col min="7694" max="7694" width="10.28515625" style="136" bestFit="1" customWidth="1"/>
    <col min="7695" max="7695" width="10.42578125" style="136" customWidth="1"/>
    <col min="7696" max="7940" width="9.140625" style="136"/>
    <col min="7941" max="7941" width="34.28515625" style="136" customWidth="1"/>
    <col min="7942" max="7942" width="17.28515625" style="136" customWidth="1"/>
    <col min="7943" max="7943" width="11.28515625" style="136" customWidth="1"/>
    <col min="7944" max="7944" width="10.140625" style="136" customWidth="1"/>
    <col min="7945" max="7945" width="9.42578125" style="136" customWidth="1"/>
    <col min="7946" max="7946" width="10.85546875" style="136" customWidth="1"/>
    <col min="7947" max="7947" width="8.140625" style="136" customWidth="1"/>
    <col min="7948" max="7948" width="10" style="136" customWidth="1"/>
    <col min="7949" max="7949" width="10.7109375" style="136" bestFit="1" customWidth="1"/>
    <col min="7950" max="7950" width="10.28515625" style="136" bestFit="1" customWidth="1"/>
    <col min="7951" max="7951" width="10.42578125" style="136" customWidth="1"/>
    <col min="7952" max="8196" width="9.140625" style="136"/>
    <col min="8197" max="8197" width="34.28515625" style="136" customWidth="1"/>
    <col min="8198" max="8198" width="17.28515625" style="136" customWidth="1"/>
    <col min="8199" max="8199" width="11.28515625" style="136" customWidth="1"/>
    <col min="8200" max="8200" width="10.140625" style="136" customWidth="1"/>
    <col min="8201" max="8201" width="9.42578125" style="136" customWidth="1"/>
    <col min="8202" max="8202" width="10.85546875" style="136" customWidth="1"/>
    <col min="8203" max="8203" width="8.140625" style="136" customWidth="1"/>
    <col min="8204" max="8204" width="10" style="136" customWidth="1"/>
    <col min="8205" max="8205" width="10.7109375" style="136" bestFit="1" customWidth="1"/>
    <col min="8206" max="8206" width="10.28515625" style="136" bestFit="1" customWidth="1"/>
    <col min="8207" max="8207" width="10.42578125" style="136" customWidth="1"/>
    <col min="8208" max="8452" width="9.140625" style="136"/>
    <col min="8453" max="8453" width="34.28515625" style="136" customWidth="1"/>
    <col min="8454" max="8454" width="17.28515625" style="136" customWidth="1"/>
    <col min="8455" max="8455" width="11.28515625" style="136" customWidth="1"/>
    <col min="8456" max="8456" width="10.140625" style="136" customWidth="1"/>
    <col min="8457" max="8457" width="9.42578125" style="136" customWidth="1"/>
    <col min="8458" max="8458" width="10.85546875" style="136" customWidth="1"/>
    <col min="8459" max="8459" width="8.140625" style="136" customWidth="1"/>
    <col min="8460" max="8460" width="10" style="136" customWidth="1"/>
    <col min="8461" max="8461" width="10.7109375" style="136" bestFit="1" customWidth="1"/>
    <col min="8462" max="8462" width="10.28515625" style="136" bestFit="1" customWidth="1"/>
    <col min="8463" max="8463" width="10.42578125" style="136" customWidth="1"/>
    <col min="8464" max="8708" width="9.140625" style="136"/>
    <col min="8709" max="8709" width="34.28515625" style="136" customWidth="1"/>
    <col min="8710" max="8710" width="17.28515625" style="136" customWidth="1"/>
    <col min="8711" max="8711" width="11.28515625" style="136" customWidth="1"/>
    <col min="8712" max="8712" width="10.140625" style="136" customWidth="1"/>
    <col min="8713" max="8713" width="9.42578125" style="136" customWidth="1"/>
    <col min="8714" max="8714" width="10.85546875" style="136" customWidth="1"/>
    <col min="8715" max="8715" width="8.140625" style="136" customWidth="1"/>
    <col min="8716" max="8716" width="10" style="136" customWidth="1"/>
    <col min="8717" max="8717" width="10.7109375" style="136" bestFit="1" customWidth="1"/>
    <col min="8718" max="8718" width="10.28515625" style="136" bestFit="1" customWidth="1"/>
    <col min="8719" max="8719" width="10.42578125" style="136" customWidth="1"/>
    <col min="8720" max="8964" width="9.140625" style="136"/>
    <col min="8965" max="8965" width="34.28515625" style="136" customWidth="1"/>
    <col min="8966" max="8966" width="17.28515625" style="136" customWidth="1"/>
    <col min="8967" max="8967" width="11.28515625" style="136" customWidth="1"/>
    <col min="8968" max="8968" width="10.140625" style="136" customWidth="1"/>
    <col min="8969" max="8969" width="9.42578125" style="136" customWidth="1"/>
    <col min="8970" max="8970" width="10.85546875" style="136" customWidth="1"/>
    <col min="8971" max="8971" width="8.140625" style="136" customWidth="1"/>
    <col min="8972" max="8972" width="10" style="136" customWidth="1"/>
    <col min="8973" max="8973" width="10.7109375" style="136" bestFit="1" customWidth="1"/>
    <col min="8974" max="8974" width="10.28515625" style="136" bestFit="1" customWidth="1"/>
    <col min="8975" max="8975" width="10.42578125" style="136" customWidth="1"/>
    <col min="8976" max="9220" width="9.140625" style="136"/>
    <col min="9221" max="9221" width="34.28515625" style="136" customWidth="1"/>
    <col min="9222" max="9222" width="17.28515625" style="136" customWidth="1"/>
    <col min="9223" max="9223" width="11.28515625" style="136" customWidth="1"/>
    <col min="9224" max="9224" width="10.140625" style="136" customWidth="1"/>
    <col min="9225" max="9225" width="9.42578125" style="136" customWidth="1"/>
    <col min="9226" max="9226" width="10.85546875" style="136" customWidth="1"/>
    <col min="9227" max="9227" width="8.140625" style="136" customWidth="1"/>
    <col min="9228" max="9228" width="10" style="136" customWidth="1"/>
    <col min="9229" max="9229" width="10.7109375" style="136" bestFit="1" customWidth="1"/>
    <col min="9230" max="9230" width="10.28515625" style="136" bestFit="1" customWidth="1"/>
    <col min="9231" max="9231" width="10.42578125" style="136" customWidth="1"/>
    <col min="9232" max="9476" width="9.140625" style="136"/>
    <col min="9477" max="9477" width="34.28515625" style="136" customWidth="1"/>
    <col min="9478" max="9478" width="17.28515625" style="136" customWidth="1"/>
    <col min="9479" max="9479" width="11.28515625" style="136" customWidth="1"/>
    <col min="9480" max="9480" width="10.140625" style="136" customWidth="1"/>
    <col min="9481" max="9481" width="9.42578125" style="136" customWidth="1"/>
    <col min="9482" max="9482" width="10.85546875" style="136" customWidth="1"/>
    <col min="9483" max="9483" width="8.140625" style="136" customWidth="1"/>
    <col min="9484" max="9484" width="10" style="136" customWidth="1"/>
    <col min="9485" max="9485" width="10.7109375" style="136" bestFit="1" customWidth="1"/>
    <col min="9486" max="9486" width="10.28515625" style="136" bestFit="1" customWidth="1"/>
    <col min="9487" max="9487" width="10.42578125" style="136" customWidth="1"/>
    <col min="9488" max="9732" width="9.140625" style="136"/>
    <col min="9733" max="9733" width="34.28515625" style="136" customWidth="1"/>
    <col min="9734" max="9734" width="17.28515625" style="136" customWidth="1"/>
    <col min="9735" max="9735" width="11.28515625" style="136" customWidth="1"/>
    <col min="9736" max="9736" width="10.140625" style="136" customWidth="1"/>
    <col min="9737" max="9737" width="9.42578125" style="136" customWidth="1"/>
    <col min="9738" max="9738" width="10.85546875" style="136" customWidth="1"/>
    <col min="9739" max="9739" width="8.140625" style="136" customWidth="1"/>
    <col min="9740" max="9740" width="10" style="136" customWidth="1"/>
    <col min="9741" max="9741" width="10.7109375" style="136" bestFit="1" customWidth="1"/>
    <col min="9742" max="9742" width="10.28515625" style="136" bestFit="1" customWidth="1"/>
    <col min="9743" max="9743" width="10.42578125" style="136" customWidth="1"/>
    <col min="9744" max="9988" width="9.140625" style="136"/>
    <col min="9989" max="9989" width="34.28515625" style="136" customWidth="1"/>
    <col min="9990" max="9990" width="17.28515625" style="136" customWidth="1"/>
    <col min="9991" max="9991" width="11.28515625" style="136" customWidth="1"/>
    <col min="9992" max="9992" width="10.140625" style="136" customWidth="1"/>
    <col min="9993" max="9993" width="9.42578125" style="136" customWidth="1"/>
    <col min="9994" max="9994" width="10.85546875" style="136" customWidth="1"/>
    <col min="9995" max="9995" width="8.140625" style="136" customWidth="1"/>
    <col min="9996" max="9996" width="10" style="136" customWidth="1"/>
    <col min="9997" max="9997" width="10.7109375" style="136" bestFit="1" customWidth="1"/>
    <col min="9998" max="9998" width="10.28515625" style="136" bestFit="1" customWidth="1"/>
    <col min="9999" max="9999" width="10.42578125" style="136" customWidth="1"/>
    <col min="10000" max="10244" width="9.140625" style="136"/>
    <col min="10245" max="10245" width="34.28515625" style="136" customWidth="1"/>
    <col min="10246" max="10246" width="17.28515625" style="136" customWidth="1"/>
    <col min="10247" max="10247" width="11.28515625" style="136" customWidth="1"/>
    <col min="10248" max="10248" width="10.140625" style="136" customWidth="1"/>
    <col min="10249" max="10249" width="9.42578125" style="136" customWidth="1"/>
    <col min="10250" max="10250" width="10.85546875" style="136" customWidth="1"/>
    <col min="10251" max="10251" width="8.140625" style="136" customWidth="1"/>
    <col min="10252" max="10252" width="10" style="136" customWidth="1"/>
    <col min="10253" max="10253" width="10.7109375" style="136" bestFit="1" customWidth="1"/>
    <col min="10254" max="10254" width="10.28515625" style="136" bestFit="1" customWidth="1"/>
    <col min="10255" max="10255" width="10.42578125" style="136" customWidth="1"/>
    <col min="10256" max="10500" width="9.140625" style="136"/>
    <col min="10501" max="10501" width="34.28515625" style="136" customWidth="1"/>
    <col min="10502" max="10502" width="17.28515625" style="136" customWidth="1"/>
    <col min="10503" max="10503" width="11.28515625" style="136" customWidth="1"/>
    <col min="10504" max="10504" width="10.140625" style="136" customWidth="1"/>
    <col min="10505" max="10505" width="9.42578125" style="136" customWidth="1"/>
    <col min="10506" max="10506" width="10.85546875" style="136" customWidth="1"/>
    <col min="10507" max="10507" width="8.140625" style="136" customWidth="1"/>
    <col min="10508" max="10508" width="10" style="136" customWidth="1"/>
    <col min="10509" max="10509" width="10.7109375" style="136" bestFit="1" customWidth="1"/>
    <col min="10510" max="10510" width="10.28515625" style="136" bestFit="1" customWidth="1"/>
    <col min="10511" max="10511" width="10.42578125" style="136" customWidth="1"/>
    <col min="10512" max="10756" width="9.140625" style="136"/>
    <col min="10757" max="10757" width="34.28515625" style="136" customWidth="1"/>
    <col min="10758" max="10758" width="17.28515625" style="136" customWidth="1"/>
    <col min="10759" max="10759" width="11.28515625" style="136" customWidth="1"/>
    <col min="10760" max="10760" width="10.140625" style="136" customWidth="1"/>
    <col min="10761" max="10761" width="9.42578125" style="136" customWidth="1"/>
    <col min="10762" max="10762" width="10.85546875" style="136" customWidth="1"/>
    <col min="10763" max="10763" width="8.140625" style="136" customWidth="1"/>
    <col min="10764" max="10764" width="10" style="136" customWidth="1"/>
    <col min="10765" max="10765" width="10.7109375" style="136" bestFit="1" customWidth="1"/>
    <col min="10766" max="10766" width="10.28515625" style="136" bestFit="1" customWidth="1"/>
    <col min="10767" max="10767" width="10.42578125" style="136" customWidth="1"/>
    <col min="10768" max="11012" width="9.140625" style="136"/>
    <col min="11013" max="11013" width="34.28515625" style="136" customWidth="1"/>
    <col min="11014" max="11014" width="17.28515625" style="136" customWidth="1"/>
    <col min="11015" max="11015" width="11.28515625" style="136" customWidth="1"/>
    <col min="11016" max="11016" width="10.140625" style="136" customWidth="1"/>
    <col min="11017" max="11017" width="9.42578125" style="136" customWidth="1"/>
    <col min="11018" max="11018" width="10.85546875" style="136" customWidth="1"/>
    <col min="11019" max="11019" width="8.140625" style="136" customWidth="1"/>
    <col min="11020" max="11020" width="10" style="136" customWidth="1"/>
    <col min="11021" max="11021" width="10.7109375" style="136" bestFit="1" customWidth="1"/>
    <col min="11022" max="11022" width="10.28515625" style="136" bestFit="1" customWidth="1"/>
    <col min="11023" max="11023" width="10.42578125" style="136" customWidth="1"/>
    <col min="11024" max="11268" width="9.140625" style="136"/>
    <col min="11269" max="11269" width="34.28515625" style="136" customWidth="1"/>
    <col min="11270" max="11270" width="17.28515625" style="136" customWidth="1"/>
    <col min="11271" max="11271" width="11.28515625" style="136" customWidth="1"/>
    <col min="11272" max="11272" width="10.140625" style="136" customWidth="1"/>
    <col min="11273" max="11273" width="9.42578125" style="136" customWidth="1"/>
    <col min="11274" max="11274" width="10.85546875" style="136" customWidth="1"/>
    <col min="11275" max="11275" width="8.140625" style="136" customWidth="1"/>
    <col min="11276" max="11276" width="10" style="136" customWidth="1"/>
    <col min="11277" max="11277" width="10.7109375" style="136" bestFit="1" customWidth="1"/>
    <col min="11278" max="11278" width="10.28515625" style="136" bestFit="1" customWidth="1"/>
    <col min="11279" max="11279" width="10.42578125" style="136" customWidth="1"/>
    <col min="11280" max="11524" width="9.140625" style="136"/>
    <col min="11525" max="11525" width="34.28515625" style="136" customWidth="1"/>
    <col min="11526" max="11526" width="17.28515625" style="136" customWidth="1"/>
    <col min="11527" max="11527" width="11.28515625" style="136" customWidth="1"/>
    <col min="11528" max="11528" width="10.140625" style="136" customWidth="1"/>
    <col min="11529" max="11529" width="9.42578125" style="136" customWidth="1"/>
    <col min="11530" max="11530" width="10.85546875" style="136" customWidth="1"/>
    <col min="11531" max="11531" width="8.140625" style="136" customWidth="1"/>
    <col min="11532" max="11532" width="10" style="136" customWidth="1"/>
    <col min="11533" max="11533" width="10.7109375" style="136" bestFit="1" customWidth="1"/>
    <col min="11534" max="11534" width="10.28515625" style="136" bestFit="1" customWidth="1"/>
    <col min="11535" max="11535" width="10.42578125" style="136" customWidth="1"/>
    <col min="11536" max="11780" width="9.140625" style="136"/>
    <col min="11781" max="11781" width="34.28515625" style="136" customWidth="1"/>
    <col min="11782" max="11782" width="17.28515625" style="136" customWidth="1"/>
    <col min="11783" max="11783" width="11.28515625" style="136" customWidth="1"/>
    <col min="11784" max="11784" width="10.140625" style="136" customWidth="1"/>
    <col min="11785" max="11785" width="9.42578125" style="136" customWidth="1"/>
    <col min="11786" max="11786" width="10.85546875" style="136" customWidth="1"/>
    <col min="11787" max="11787" width="8.140625" style="136" customWidth="1"/>
    <col min="11788" max="11788" width="10" style="136" customWidth="1"/>
    <col min="11789" max="11789" width="10.7109375" style="136" bestFit="1" customWidth="1"/>
    <col min="11790" max="11790" width="10.28515625" style="136" bestFit="1" customWidth="1"/>
    <col min="11791" max="11791" width="10.42578125" style="136" customWidth="1"/>
    <col min="11792" max="12036" width="9.140625" style="136"/>
    <col min="12037" max="12037" width="34.28515625" style="136" customWidth="1"/>
    <col min="12038" max="12038" width="17.28515625" style="136" customWidth="1"/>
    <col min="12039" max="12039" width="11.28515625" style="136" customWidth="1"/>
    <col min="12040" max="12040" width="10.140625" style="136" customWidth="1"/>
    <col min="12041" max="12041" width="9.42578125" style="136" customWidth="1"/>
    <col min="12042" max="12042" width="10.85546875" style="136" customWidth="1"/>
    <col min="12043" max="12043" width="8.140625" style="136" customWidth="1"/>
    <col min="12044" max="12044" width="10" style="136" customWidth="1"/>
    <col min="12045" max="12045" width="10.7109375" style="136" bestFit="1" customWidth="1"/>
    <col min="12046" max="12046" width="10.28515625" style="136" bestFit="1" customWidth="1"/>
    <col min="12047" max="12047" width="10.42578125" style="136" customWidth="1"/>
    <col min="12048" max="12292" width="9.140625" style="136"/>
    <col min="12293" max="12293" width="34.28515625" style="136" customWidth="1"/>
    <col min="12294" max="12294" width="17.28515625" style="136" customWidth="1"/>
    <col min="12295" max="12295" width="11.28515625" style="136" customWidth="1"/>
    <col min="12296" max="12296" width="10.140625" style="136" customWidth="1"/>
    <col min="12297" max="12297" width="9.42578125" style="136" customWidth="1"/>
    <col min="12298" max="12298" width="10.85546875" style="136" customWidth="1"/>
    <col min="12299" max="12299" width="8.140625" style="136" customWidth="1"/>
    <col min="12300" max="12300" width="10" style="136" customWidth="1"/>
    <col min="12301" max="12301" width="10.7109375" style="136" bestFit="1" customWidth="1"/>
    <col min="12302" max="12302" width="10.28515625" style="136" bestFit="1" customWidth="1"/>
    <col min="12303" max="12303" width="10.42578125" style="136" customWidth="1"/>
    <col min="12304" max="12548" width="9.140625" style="136"/>
    <col min="12549" max="12549" width="34.28515625" style="136" customWidth="1"/>
    <col min="12550" max="12550" width="17.28515625" style="136" customWidth="1"/>
    <col min="12551" max="12551" width="11.28515625" style="136" customWidth="1"/>
    <col min="12552" max="12552" width="10.140625" style="136" customWidth="1"/>
    <col min="12553" max="12553" width="9.42578125" style="136" customWidth="1"/>
    <col min="12554" max="12554" width="10.85546875" style="136" customWidth="1"/>
    <col min="12555" max="12555" width="8.140625" style="136" customWidth="1"/>
    <col min="12556" max="12556" width="10" style="136" customWidth="1"/>
    <col min="12557" max="12557" width="10.7109375" style="136" bestFit="1" customWidth="1"/>
    <col min="12558" max="12558" width="10.28515625" style="136" bestFit="1" customWidth="1"/>
    <col min="12559" max="12559" width="10.42578125" style="136" customWidth="1"/>
    <col min="12560" max="12804" width="9.140625" style="136"/>
    <col min="12805" max="12805" width="34.28515625" style="136" customWidth="1"/>
    <col min="12806" max="12806" width="17.28515625" style="136" customWidth="1"/>
    <col min="12807" max="12807" width="11.28515625" style="136" customWidth="1"/>
    <col min="12808" max="12808" width="10.140625" style="136" customWidth="1"/>
    <col min="12809" max="12809" width="9.42578125" style="136" customWidth="1"/>
    <col min="12810" max="12810" width="10.85546875" style="136" customWidth="1"/>
    <col min="12811" max="12811" width="8.140625" style="136" customWidth="1"/>
    <col min="12812" max="12812" width="10" style="136" customWidth="1"/>
    <col min="12813" max="12813" width="10.7109375" style="136" bestFit="1" customWidth="1"/>
    <col min="12814" max="12814" width="10.28515625" style="136" bestFit="1" customWidth="1"/>
    <col min="12815" max="12815" width="10.42578125" style="136" customWidth="1"/>
    <col min="12816" max="13060" width="9.140625" style="136"/>
    <col min="13061" max="13061" width="34.28515625" style="136" customWidth="1"/>
    <col min="13062" max="13062" width="17.28515625" style="136" customWidth="1"/>
    <col min="13063" max="13063" width="11.28515625" style="136" customWidth="1"/>
    <col min="13064" max="13064" width="10.140625" style="136" customWidth="1"/>
    <col min="13065" max="13065" width="9.42578125" style="136" customWidth="1"/>
    <col min="13066" max="13066" width="10.85546875" style="136" customWidth="1"/>
    <col min="13067" max="13067" width="8.140625" style="136" customWidth="1"/>
    <col min="13068" max="13068" width="10" style="136" customWidth="1"/>
    <col min="13069" max="13069" width="10.7109375" style="136" bestFit="1" customWidth="1"/>
    <col min="13070" max="13070" width="10.28515625" style="136" bestFit="1" customWidth="1"/>
    <col min="13071" max="13071" width="10.42578125" style="136" customWidth="1"/>
    <col min="13072" max="13316" width="9.140625" style="136"/>
    <col min="13317" max="13317" width="34.28515625" style="136" customWidth="1"/>
    <col min="13318" max="13318" width="17.28515625" style="136" customWidth="1"/>
    <col min="13319" max="13319" width="11.28515625" style="136" customWidth="1"/>
    <col min="13320" max="13320" width="10.140625" style="136" customWidth="1"/>
    <col min="13321" max="13321" width="9.42578125" style="136" customWidth="1"/>
    <col min="13322" max="13322" width="10.85546875" style="136" customWidth="1"/>
    <col min="13323" max="13323" width="8.140625" style="136" customWidth="1"/>
    <col min="13324" max="13324" width="10" style="136" customWidth="1"/>
    <col min="13325" max="13325" width="10.7109375" style="136" bestFit="1" customWidth="1"/>
    <col min="13326" max="13326" width="10.28515625" style="136" bestFit="1" customWidth="1"/>
    <col min="13327" max="13327" width="10.42578125" style="136" customWidth="1"/>
    <col min="13328" max="13572" width="9.140625" style="136"/>
    <col min="13573" max="13573" width="34.28515625" style="136" customWidth="1"/>
    <col min="13574" max="13574" width="17.28515625" style="136" customWidth="1"/>
    <col min="13575" max="13575" width="11.28515625" style="136" customWidth="1"/>
    <col min="13576" max="13576" width="10.140625" style="136" customWidth="1"/>
    <col min="13577" max="13577" width="9.42578125" style="136" customWidth="1"/>
    <col min="13578" max="13578" width="10.85546875" style="136" customWidth="1"/>
    <col min="13579" max="13579" width="8.140625" style="136" customWidth="1"/>
    <col min="13580" max="13580" width="10" style="136" customWidth="1"/>
    <col min="13581" max="13581" width="10.7109375" style="136" bestFit="1" customWidth="1"/>
    <col min="13582" max="13582" width="10.28515625" style="136" bestFit="1" customWidth="1"/>
    <col min="13583" max="13583" width="10.42578125" style="136" customWidth="1"/>
    <col min="13584" max="13828" width="9.140625" style="136"/>
    <col min="13829" max="13829" width="34.28515625" style="136" customWidth="1"/>
    <col min="13830" max="13830" width="17.28515625" style="136" customWidth="1"/>
    <col min="13831" max="13831" width="11.28515625" style="136" customWidth="1"/>
    <col min="13832" max="13832" width="10.140625" style="136" customWidth="1"/>
    <col min="13833" max="13833" width="9.42578125" style="136" customWidth="1"/>
    <col min="13834" max="13834" width="10.85546875" style="136" customWidth="1"/>
    <col min="13835" max="13835" width="8.140625" style="136" customWidth="1"/>
    <col min="13836" max="13836" width="10" style="136" customWidth="1"/>
    <col min="13837" max="13837" width="10.7109375" style="136" bestFit="1" customWidth="1"/>
    <col min="13838" max="13838" width="10.28515625" style="136" bestFit="1" customWidth="1"/>
    <col min="13839" max="13839" width="10.42578125" style="136" customWidth="1"/>
    <col min="13840" max="14084" width="9.140625" style="136"/>
    <col min="14085" max="14085" width="34.28515625" style="136" customWidth="1"/>
    <col min="14086" max="14086" width="17.28515625" style="136" customWidth="1"/>
    <col min="14087" max="14087" width="11.28515625" style="136" customWidth="1"/>
    <col min="14088" max="14088" width="10.140625" style="136" customWidth="1"/>
    <col min="14089" max="14089" width="9.42578125" style="136" customWidth="1"/>
    <col min="14090" max="14090" width="10.85546875" style="136" customWidth="1"/>
    <col min="14091" max="14091" width="8.140625" style="136" customWidth="1"/>
    <col min="14092" max="14092" width="10" style="136" customWidth="1"/>
    <col min="14093" max="14093" width="10.7109375" style="136" bestFit="1" customWidth="1"/>
    <col min="14094" max="14094" width="10.28515625" style="136" bestFit="1" customWidth="1"/>
    <col min="14095" max="14095" width="10.42578125" style="136" customWidth="1"/>
    <col min="14096" max="14340" width="9.140625" style="136"/>
    <col min="14341" max="14341" width="34.28515625" style="136" customWidth="1"/>
    <col min="14342" max="14342" width="17.28515625" style="136" customWidth="1"/>
    <col min="14343" max="14343" width="11.28515625" style="136" customWidth="1"/>
    <col min="14344" max="14344" width="10.140625" style="136" customWidth="1"/>
    <col min="14345" max="14345" width="9.42578125" style="136" customWidth="1"/>
    <col min="14346" max="14346" width="10.85546875" style="136" customWidth="1"/>
    <col min="14347" max="14347" width="8.140625" style="136" customWidth="1"/>
    <col min="14348" max="14348" width="10" style="136" customWidth="1"/>
    <col min="14349" max="14349" width="10.7109375" style="136" bestFit="1" customWidth="1"/>
    <col min="14350" max="14350" width="10.28515625" style="136" bestFit="1" customWidth="1"/>
    <col min="14351" max="14351" width="10.42578125" style="136" customWidth="1"/>
    <col min="14352" max="14596" width="9.140625" style="136"/>
    <col min="14597" max="14597" width="34.28515625" style="136" customWidth="1"/>
    <col min="14598" max="14598" width="17.28515625" style="136" customWidth="1"/>
    <col min="14599" max="14599" width="11.28515625" style="136" customWidth="1"/>
    <col min="14600" max="14600" width="10.140625" style="136" customWidth="1"/>
    <col min="14601" max="14601" width="9.42578125" style="136" customWidth="1"/>
    <col min="14602" max="14602" width="10.85546875" style="136" customWidth="1"/>
    <col min="14603" max="14603" width="8.140625" style="136" customWidth="1"/>
    <col min="14604" max="14604" width="10" style="136" customWidth="1"/>
    <col min="14605" max="14605" width="10.7109375" style="136" bestFit="1" customWidth="1"/>
    <col min="14606" max="14606" width="10.28515625" style="136" bestFit="1" customWidth="1"/>
    <col min="14607" max="14607" width="10.42578125" style="136" customWidth="1"/>
    <col min="14608" max="14852" width="9.140625" style="136"/>
    <col min="14853" max="14853" width="34.28515625" style="136" customWidth="1"/>
    <col min="14854" max="14854" width="17.28515625" style="136" customWidth="1"/>
    <col min="14855" max="14855" width="11.28515625" style="136" customWidth="1"/>
    <col min="14856" max="14856" width="10.140625" style="136" customWidth="1"/>
    <col min="14857" max="14857" width="9.42578125" style="136" customWidth="1"/>
    <col min="14858" max="14858" width="10.85546875" style="136" customWidth="1"/>
    <col min="14859" max="14859" width="8.140625" style="136" customWidth="1"/>
    <col min="14860" max="14860" width="10" style="136" customWidth="1"/>
    <col min="14861" max="14861" width="10.7109375" style="136" bestFit="1" customWidth="1"/>
    <col min="14862" max="14862" width="10.28515625" style="136" bestFit="1" customWidth="1"/>
    <col min="14863" max="14863" width="10.42578125" style="136" customWidth="1"/>
    <col min="14864" max="15108" width="9.140625" style="136"/>
    <col min="15109" max="15109" width="34.28515625" style="136" customWidth="1"/>
    <col min="15110" max="15110" width="17.28515625" style="136" customWidth="1"/>
    <col min="15111" max="15111" width="11.28515625" style="136" customWidth="1"/>
    <col min="15112" max="15112" width="10.140625" style="136" customWidth="1"/>
    <col min="15113" max="15113" width="9.42578125" style="136" customWidth="1"/>
    <col min="15114" max="15114" width="10.85546875" style="136" customWidth="1"/>
    <col min="15115" max="15115" width="8.140625" style="136" customWidth="1"/>
    <col min="15116" max="15116" width="10" style="136" customWidth="1"/>
    <col min="15117" max="15117" width="10.7109375" style="136" bestFit="1" customWidth="1"/>
    <col min="15118" max="15118" width="10.28515625" style="136" bestFit="1" customWidth="1"/>
    <col min="15119" max="15119" width="10.42578125" style="136" customWidth="1"/>
    <col min="15120" max="15364" width="9.140625" style="136"/>
    <col min="15365" max="15365" width="34.28515625" style="136" customWidth="1"/>
    <col min="15366" max="15366" width="17.28515625" style="136" customWidth="1"/>
    <col min="15367" max="15367" width="11.28515625" style="136" customWidth="1"/>
    <col min="15368" max="15368" width="10.140625" style="136" customWidth="1"/>
    <col min="15369" max="15369" width="9.42578125" style="136" customWidth="1"/>
    <col min="15370" max="15370" width="10.85546875" style="136" customWidth="1"/>
    <col min="15371" max="15371" width="8.140625" style="136" customWidth="1"/>
    <col min="15372" max="15372" width="10" style="136" customWidth="1"/>
    <col min="15373" max="15373" width="10.7109375" style="136" bestFit="1" customWidth="1"/>
    <col min="15374" max="15374" width="10.28515625" style="136" bestFit="1" customWidth="1"/>
    <col min="15375" max="15375" width="10.42578125" style="136" customWidth="1"/>
    <col min="15376" max="15620" width="9.140625" style="136"/>
    <col min="15621" max="15621" width="34.28515625" style="136" customWidth="1"/>
    <col min="15622" max="15622" width="17.28515625" style="136" customWidth="1"/>
    <col min="15623" max="15623" width="11.28515625" style="136" customWidth="1"/>
    <col min="15624" max="15624" width="10.140625" style="136" customWidth="1"/>
    <col min="15625" max="15625" width="9.42578125" style="136" customWidth="1"/>
    <col min="15626" max="15626" width="10.85546875" style="136" customWidth="1"/>
    <col min="15627" max="15627" width="8.140625" style="136" customWidth="1"/>
    <col min="15628" max="15628" width="10" style="136" customWidth="1"/>
    <col min="15629" max="15629" width="10.7109375" style="136" bestFit="1" customWidth="1"/>
    <col min="15630" max="15630" width="10.28515625" style="136" bestFit="1" customWidth="1"/>
    <col min="15631" max="15631" width="10.42578125" style="136" customWidth="1"/>
    <col min="15632" max="15876" width="9.140625" style="136"/>
    <col min="15877" max="15877" width="34.28515625" style="136" customWidth="1"/>
    <col min="15878" max="15878" width="17.28515625" style="136" customWidth="1"/>
    <col min="15879" max="15879" width="11.28515625" style="136" customWidth="1"/>
    <col min="15880" max="15880" width="10.140625" style="136" customWidth="1"/>
    <col min="15881" max="15881" width="9.42578125" style="136" customWidth="1"/>
    <col min="15882" max="15882" width="10.85546875" style="136" customWidth="1"/>
    <col min="15883" max="15883" width="8.140625" style="136" customWidth="1"/>
    <col min="15884" max="15884" width="10" style="136" customWidth="1"/>
    <col min="15885" max="15885" width="10.7109375" style="136" bestFit="1" customWidth="1"/>
    <col min="15886" max="15886" width="10.28515625" style="136" bestFit="1" customWidth="1"/>
    <col min="15887" max="15887" width="10.42578125" style="136" customWidth="1"/>
    <col min="15888" max="16132" width="9.140625" style="136"/>
    <col min="16133" max="16133" width="34.28515625" style="136" customWidth="1"/>
    <col min="16134" max="16134" width="17.28515625" style="136" customWidth="1"/>
    <col min="16135" max="16135" width="11.28515625" style="136" customWidth="1"/>
    <col min="16136" max="16136" width="10.140625" style="136" customWidth="1"/>
    <col min="16137" max="16137" width="9.42578125" style="136" customWidth="1"/>
    <col min="16138" max="16138" width="10.85546875" style="136" customWidth="1"/>
    <col min="16139" max="16139" width="8.140625" style="136" customWidth="1"/>
    <col min="16140" max="16140" width="10" style="136" customWidth="1"/>
    <col min="16141" max="16141" width="10.7109375" style="136" bestFit="1" customWidth="1"/>
    <col min="16142" max="16142" width="10.28515625" style="136" bestFit="1" customWidth="1"/>
    <col min="16143" max="16143" width="10.42578125" style="136" customWidth="1"/>
    <col min="16144" max="16384" width="9.140625" style="136"/>
  </cols>
  <sheetData>
    <row r="2" spans="1:16" ht="18.75" x14ac:dyDescent="0.3">
      <c r="G2" s="343" t="s">
        <v>365</v>
      </c>
    </row>
    <row r="4" spans="1:16" x14ac:dyDescent="0.25">
      <c r="A4" s="295"/>
      <c r="B4" s="1201" t="s">
        <v>338</v>
      </c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296"/>
    </row>
    <row r="5" spans="1:16" x14ac:dyDescent="0.25">
      <c r="A5" s="1209" t="s">
        <v>534</v>
      </c>
      <c r="B5" s="1209"/>
      <c r="C5" s="1209"/>
      <c r="D5" s="1209"/>
      <c r="E5" s="1209"/>
      <c r="F5" s="1209"/>
      <c r="G5" s="1209"/>
      <c r="H5" s="1209"/>
      <c r="I5" s="1209"/>
      <c r="J5" s="1209"/>
      <c r="K5" s="1198"/>
      <c r="L5" s="1198"/>
      <c r="M5" s="1198"/>
      <c r="N5" s="1198"/>
      <c r="O5" s="297"/>
      <c r="P5" s="296"/>
    </row>
    <row r="6" spans="1:16" x14ac:dyDescent="0.25">
      <c r="A6" s="445"/>
      <c r="B6" s="1203" t="s">
        <v>436</v>
      </c>
      <c r="C6" s="1204"/>
      <c r="D6" s="1204"/>
      <c r="E6" s="1204"/>
      <c r="F6" s="1204"/>
      <c r="G6" s="1204"/>
      <c r="H6" s="1204"/>
      <c r="I6" s="1204"/>
      <c r="J6" s="1204"/>
      <c r="K6" s="1204"/>
      <c r="L6" s="1204"/>
      <c r="M6" s="1204"/>
      <c r="N6" s="444"/>
      <c r="O6" s="444"/>
      <c r="P6" s="296"/>
    </row>
    <row r="7" spans="1:16" x14ac:dyDescent="0.25">
      <c r="A7" s="650" t="s">
        <v>538</v>
      </c>
      <c r="B7" s="655"/>
      <c r="C7" s="656"/>
      <c r="D7" s="656"/>
      <c r="E7" s="447"/>
      <c r="F7" s="447"/>
      <c r="G7" s="447"/>
      <c r="H7" s="447"/>
      <c r="I7" s="447"/>
      <c r="J7" s="447"/>
      <c r="K7" s="447"/>
      <c r="L7" s="447"/>
      <c r="M7" s="447"/>
      <c r="N7" s="444"/>
      <c r="O7" s="444"/>
      <c r="P7" s="296"/>
    </row>
    <row r="8" spans="1:16" ht="15.75" thickBot="1" x14ac:dyDescent="0.3">
      <c r="A8" s="445"/>
      <c r="B8" s="446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4"/>
      <c r="O8" s="444"/>
      <c r="P8" s="296"/>
    </row>
    <row r="9" spans="1:16" ht="27" thickBot="1" x14ac:dyDescent="0.3">
      <c r="A9" s="322"/>
      <c r="B9" s="298" t="s">
        <v>0</v>
      </c>
      <c r="C9" s="299" t="s">
        <v>15</v>
      </c>
      <c r="D9" s="1207" t="s">
        <v>333</v>
      </c>
      <c r="E9" s="1207"/>
      <c r="F9" s="1207"/>
      <c r="G9" s="1207"/>
      <c r="H9" s="1207" t="s">
        <v>317</v>
      </c>
      <c r="I9" s="1207"/>
      <c r="J9" s="1207"/>
      <c r="K9" s="1207"/>
      <c r="L9" s="1207" t="s">
        <v>334</v>
      </c>
      <c r="M9" s="1207"/>
      <c r="N9" s="1207"/>
      <c r="O9" s="1208"/>
      <c r="P9" s="300"/>
    </row>
    <row r="10" spans="1:16" x14ac:dyDescent="0.25">
      <c r="A10" s="301"/>
      <c r="B10" s="326"/>
      <c r="C10" s="301"/>
      <c r="D10" s="302" t="s">
        <v>148</v>
      </c>
      <c r="E10" s="302" t="s">
        <v>4</v>
      </c>
      <c r="F10" s="302" t="s">
        <v>3</v>
      </c>
      <c r="G10" s="302" t="s">
        <v>5</v>
      </c>
      <c r="H10" s="302" t="s">
        <v>148</v>
      </c>
      <c r="I10" s="302" t="s">
        <v>4</v>
      </c>
      <c r="J10" s="302" t="s">
        <v>3</v>
      </c>
      <c r="K10" s="302" t="s">
        <v>5</v>
      </c>
      <c r="L10" s="302" t="s">
        <v>148</v>
      </c>
      <c r="M10" s="302" t="s">
        <v>4</v>
      </c>
      <c r="N10" s="302" t="s">
        <v>3</v>
      </c>
      <c r="O10" s="303" t="s">
        <v>5</v>
      </c>
      <c r="P10" s="304"/>
    </row>
    <row r="11" spans="1:16" ht="60.75" x14ac:dyDescent="0.25">
      <c r="A11" s="82" t="s">
        <v>188</v>
      </c>
      <c r="B11" s="451" t="s">
        <v>254</v>
      </c>
      <c r="C11" s="489"/>
      <c r="D11" s="490">
        <f t="shared" ref="D11:D26" si="0">E11+F11+G11</f>
        <v>1063194.2</v>
      </c>
      <c r="E11" s="490"/>
      <c r="F11" s="490">
        <v>635561.1</v>
      </c>
      <c r="G11" s="490">
        <v>427633.1</v>
      </c>
      <c r="H11" s="491">
        <f t="shared" ref="H11:H26" si="1">I11+J11+K11</f>
        <v>18339.707539999999</v>
      </c>
      <c r="I11" s="490"/>
      <c r="J11" s="491">
        <f>J12+J13+J14+J15+J16+J17</f>
        <v>44.479630000000085</v>
      </c>
      <c r="K11" s="491">
        <f>K12+K13+K14</f>
        <v>18295.227909999998</v>
      </c>
      <c r="L11" s="455">
        <f t="shared" ref="L11:L22" si="2">M11+N11+O11</f>
        <v>1081533.90754</v>
      </c>
      <c r="M11" s="455">
        <f t="shared" ref="M11:M26" si="3">I11+E11</f>
        <v>0</v>
      </c>
      <c r="N11" s="455">
        <f t="shared" ref="N11:N26" si="4">J11+F11</f>
        <v>635605.57962999993</v>
      </c>
      <c r="O11" s="455">
        <f t="shared" ref="O11:O26" si="5">K11+G11</f>
        <v>445928.32790999999</v>
      </c>
      <c r="P11" s="475"/>
    </row>
    <row r="12" spans="1:16" ht="99" customHeight="1" x14ac:dyDescent="0.25">
      <c r="A12" s="89" t="s">
        <v>6</v>
      </c>
      <c r="B12" s="90" t="s">
        <v>331</v>
      </c>
      <c r="C12" s="90" t="s">
        <v>329</v>
      </c>
      <c r="D12" s="468">
        <f t="shared" si="0"/>
        <v>461297.6</v>
      </c>
      <c r="E12" s="469"/>
      <c r="F12" s="469">
        <v>342758.7</v>
      </c>
      <c r="G12" s="469">
        <v>118538.9</v>
      </c>
      <c r="H12" s="468">
        <f t="shared" si="1"/>
        <v>14634.321</v>
      </c>
      <c r="I12" s="469"/>
      <c r="J12" s="468">
        <v>3649.1</v>
      </c>
      <c r="K12" s="548">
        <v>10985.221</v>
      </c>
      <c r="L12" s="441">
        <f t="shared" si="2"/>
        <v>475931.92099999997</v>
      </c>
      <c r="M12" s="441"/>
      <c r="N12" s="441">
        <f t="shared" ref="N12:N18" si="6">J12+F12</f>
        <v>346407.8</v>
      </c>
      <c r="O12" s="441">
        <f t="shared" ref="O12:O24" si="7">G12+K12</f>
        <v>129524.121</v>
      </c>
      <c r="P12" s="516" t="s">
        <v>536</v>
      </c>
    </row>
    <row r="13" spans="1:16" ht="191.45" customHeight="1" x14ac:dyDescent="0.25">
      <c r="A13" s="94" t="s">
        <v>8</v>
      </c>
      <c r="B13" s="74" t="s">
        <v>259</v>
      </c>
      <c r="C13" s="74" t="s">
        <v>330</v>
      </c>
      <c r="D13" s="468">
        <f t="shared" si="0"/>
        <v>450258.3</v>
      </c>
      <c r="E13" s="469"/>
      <c r="F13" s="469">
        <v>248270.3</v>
      </c>
      <c r="G13" s="468">
        <v>201988</v>
      </c>
      <c r="H13" s="468">
        <f t="shared" si="1"/>
        <v>4771.2069099999999</v>
      </c>
      <c r="I13" s="469"/>
      <c r="J13" s="468">
        <v>-1184</v>
      </c>
      <c r="K13" s="548">
        <v>5955.2069099999999</v>
      </c>
      <c r="L13" s="441">
        <f t="shared" si="2"/>
        <v>455029.50691</v>
      </c>
      <c r="M13" s="441"/>
      <c r="N13" s="441">
        <f t="shared" si="6"/>
        <v>247086.3</v>
      </c>
      <c r="O13" s="441">
        <f t="shared" si="7"/>
        <v>207943.20691000001</v>
      </c>
      <c r="P13" s="518" t="s">
        <v>540</v>
      </c>
    </row>
    <row r="14" spans="1:16" ht="91.15" customHeight="1" x14ac:dyDescent="0.25">
      <c r="A14" s="94" t="s">
        <v>52</v>
      </c>
      <c r="B14" s="74" t="s">
        <v>260</v>
      </c>
      <c r="C14" s="74" t="s">
        <v>329</v>
      </c>
      <c r="D14" s="468">
        <f t="shared" si="0"/>
        <v>127151.79999999999</v>
      </c>
      <c r="E14" s="469"/>
      <c r="F14" s="469">
        <v>21381.9</v>
      </c>
      <c r="G14" s="469">
        <v>105769.9</v>
      </c>
      <c r="H14" s="468">
        <f t="shared" si="1"/>
        <v>1354.8</v>
      </c>
      <c r="I14" s="469"/>
      <c r="J14" s="469"/>
      <c r="K14" s="468">
        <v>1354.8</v>
      </c>
      <c r="L14" s="441">
        <f t="shared" si="2"/>
        <v>128506.6</v>
      </c>
      <c r="M14" s="441"/>
      <c r="N14" s="441">
        <f t="shared" si="6"/>
        <v>21381.9</v>
      </c>
      <c r="O14" s="441">
        <f t="shared" si="7"/>
        <v>107124.7</v>
      </c>
      <c r="P14" s="481" t="s">
        <v>541</v>
      </c>
    </row>
    <row r="15" spans="1:16" ht="64.900000000000006" customHeight="1" x14ac:dyDescent="0.25">
      <c r="A15" s="94" t="s">
        <v>210</v>
      </c>
      <c r="B15" s="95" t="s">
        <v>42</v>
      </c>
      <c r="C15" s="95" t="s">
        <v>45</v>
      </c>
      <c r="D15" s="468">
        <f>E15+F15+G15</f>
        <v>3032</v>
      </c>
      <c r="E15" s="469"/>
      <c r="F15" s="469">
        <v>1720.7</v>
      </c>
      <c r="G15" s="469">
        <v>1311.3</v>
      </c>
      <c r="H15" s="468">
        <f>I15+J15+K15</f>
        <v>-327.92036999999999</v>
      </c>
      <c r="I15" s="469"/>
      <c r="J15" s="468">
        <v>-327.92036999999999</v>
      </c>
      <c r="K15" s="468"/>
      <c r="L15" s="441">
        <f t="shared" si="2"/>
        <v>2704.0796300000002</v>
      </c>
      <c r="M15" s="441"/>
      <c r="N15" s="441">
        <f t="shared" si="6"/>
        <v>1392.77963</v>
      </c>
      <c r="O15" s="441">
        <f t="shared" si="7"/>
        <v>1311.3</v>
      </c>
      <c r="P15" s="481" t="s">
        <v>501</v>
      </c>
    </row>
    <row r="16" spans="1:16" ht="108.6" customHeight="1" x14ac:dyDescent="0.25">
      <c r="A16" s="89" t="s">
        <v>209</v>
      </c>
      <c r="B16" s="611" t="s">
        <v>205</v>
      </c>
      <c r="C16" s="91" t="s">
        <v>61</v>
      </c>
      <c r="D16" s="468">
        <f>E16+F16+G16</f>
        <v>14214.8</v>
      </c>
      <c r="E16" s="469"/>
      <c r="F16" s="469">
        <v>14214.8</v>
      </c>
      <c r="G16" s="469"/>
      <c r="H16" s="468">
        <f t="shared" si="1"/>
        <v>-2111</v>
      </c>
      <c r="I16" s="469"/>
      <c r="J16" s="468">
        <v>-2111</v>
      </c>
      <c r="K16" s="468"/>
      <c r="L16" s="441">
        <f t="shared" si="2"/>
        <v>12103.8</v>
      </c>
      <c r="M16" s="441"/>
      <c r="N16" s="441">
        <f t="shared" si="6"/>
        <v>12103.8</v>
      </c>
      <c r="O16" s="442"/>
      <c r="P16" s="481" t="s">
        <v>501</v>
      </c>
    </row>
    <row r="17" spans="1:17" ht="114.6" customHeight="1" x14ac:dyDescent="0.25">
      <c r="A17" s="94" t="s">
        <v>211</v>
      </c>
      <c r="B17" s="91" t="s">
        <v>306</v>
      </c>
      <c r="C17" s="91" t="s">
        <v>61</v>
      </c>
      <c r="D17" s="468">
        <f>E17+F17+G17</f>
        <v>284.3</v>
      </c>
      <c r="E17" s="469"/>
      <c r="F17" s="469">
        <v>284.3</v>
      </c>
      <c r="G17" s="469"/>
      <c r="H17" s="468">
        <f>I17+J17+K17</f>
        <v>18.3</v>
      </c>
      <c r="I17" s="469"/>
      <c r="J17" s="469">
        <v>18.3</v>
      </c>
      <c r="K17" s="468"/>
      <c r="L17" s="441">
        <f>N17+M17+O17</f>
        <v>302.60000000000002</v>
      </c>
      <c r="M17" s="441"/>
      <c r="N17" s="441">
        <f t="shared" si="6"/>
        <v>302.60000000000002</v>
      </c>
      <c r="O17" s="442"/>
      <c r="P17" s="481" t="s">
        <v>502</v>
      </c>
    </row>
    <row r="18" spans="1:17" ht="47.45" customHeight="1" x14ac:dyDescent="0.25">
      <c r="A18" s="82" t="s">
        <v>14</v>
      </c>
      <c r="B18" s="546" t="s">
        <v>215</v>
      </c>
      <c r="C18" s="451"/>
      <c r="D18" s="491">
        <f t="shared" si="0"/>
        <v>1120.3</v>
      </c>
      <c r="E18" s="490"/>
      <c r="F18" s="490"/>
      <c r="G18" s="491">
        <v>1120.3</v>
      </c>
      <c r="H18" s="491">
        <f t="shared" ref="H18:H24" si="8">I18+J18+K18</f>
        <v>-50.085999999999999</v>
      </c>
      <c r="I18" s="490"/>
      <c r="J18" s="490">
        <f>J19</f>
        <v>0</v>
      </c>
      <c r="K18" s="491">
        <f>K19</f>
        <v>-50.085999999999999</v>
      </c>
      <c r="L18" s="455">
        <f t="shared" si="2"/>
        <v>1070.2139999999999</v>
      </c>
      <c r="M18" s="455"/>
      <c r="N18" s="455">
        <f t="shared" si="6"/>
        <v>0</v>
      </c>
      <c r="O18" s="455">
        <f t="shared" si="7"/>
        <v>1070.2139999999999</v>
      </c>
      <c r="P18" s="519"/>
    </row>
    <row r="19" spans="1:17" ht="70.150000000000006" customHeight="1" x14ac:dyDescent="0.25">
      <c r="A19" s="89" t="s">
        <v>216</v>
      </c>
      <c r="B19" s="103" t="s">
        <v>218</v>
      </c>
      <c r="C19" s="74"/>
      <c r="D19" s="468">
        <f t="shared" si="0"/>
        <v>1120.3</v>
      </c>
      <c r="E19" s="468"/>
      <c r="F19" s="468"/>
      <c r="G19" s="468">
        <v>1120.3</v>
      </c>
      <c r="H19" s="468">
        <f t="shared" si="8"/>
        <v>-50.085999999999999</v>
      </c>
      <c r="I19" s="469"/>
      <c r="J19" s="469"/>
      <c r="K19" s="468">
        <v>-50.085999999999999</v>
      </c>
      <c r="L19" s="441">
        <f t="shared" si="2"/>
        <v>1070.2139999999999</v>
      </c>
      <c r="M19" s="441"/>
      <c r="N19" s="441"/>
      <c r="O19" s="441">
        <f t="shared" si="7"/>
        <v>1070.2139999999999</v>
      </c>
      <c r="P19" s="481" t="s">
        <v>493</v>
      </c>
    </row>
    <row r="20" spans="1:17" ht="43.15" customHeight="1" x14ac:dyDescent="0.25">
      <c r="A20" s="82" t="s">
        <v>57</v>
      </c>
      <c r="B20" s="520" t="s">
        <v>221</v>
      </c>
      <c r="C20" s="483"/>
      <c r="D20" s="491">
        <f>E20+F20+G20</f>
        <v>350</v>
      </c>
      <c r="E20" s="490"/>
      <c r="F20" s="490"/>
      <c r="G20" s="490">
        <v>350</v>
      </c>
      <c r="H20" s="491">
        <f t="shared" si="8"/>
        <v>-250</v>
      </c>
      <c r="I20" s="490"/>
      <c r="J20" s="490"/>
      <c r="K20" s="604">
        <f>K21</f>
        <v>-250</v>
      </c>
      <c r="L20" s="455">
        <f>M20+N20+O20</f>
        <v>100</v>
      </c>
      <c r="M20" s="455"/>
      <c r="N20" s="455"/>
      <c r="O20" s="455">
        <f t="shared" si="7"/>
        <v>100</v>
      </c>
      <c r="P20" s="602"/>
    </row>
    <row r="21" spans="1:17" ht="69.599999999999994" customHeight="1" x14ac:dyDescent="0.25">
      <c r="A21" s="89" t="s">
        <v>191</v>
      </c>
      <c r="B21" s="90" t="s">
        <v>224</v>
      </c>
      <c r="C21" s="74" t="s">
        <v>391</v>
      </c>
      <c r="D21" s="548">
        <f t="shared" si="0"/>
        <v>350</v>
      </c>
      <c r="E21" s="549"/>
      <c r="F21" s="549"/>
      <c r="G21" s="548">
        <v>350</v>
      </c>
      <c r="H21" s="548">
        <f t="shared" si="8"/>
        <v>-250</v>
      </c>
      <c r="I21" s="549"/>
      <c r="J21" s="549"/>
      <c r="K21" s="548">
        <f>K22</f>
        <v>-250</v>
      </c>
      <c r="L21" s="441">
        <f t="shared" si="2"/>
        <v>100</v>
      </c>
      <c r="M21" s="441"/>
      <c r="N21" s="441"/>
      <c r="O21" s="441">
        <f t="shared" si="7"/>
        <v>100</v>
      </c>
      <c r="P21" s="367"/>
    </row>
    <row r="22" spans="1:17" ht="91.15" customHeight="1" x14ac:dyDescent="0.25">
      <c r="A22" s="89"/>
      <c r="B22" s="93" t="s">
        <v>10</v>
      </c>
      <c r="C22" s="550" t="s">
        <v>457</v>
      </c>
      <c r="D22" s="468">
        <f t="shared" si="0"/>
        <v>250</v>
      </c>
      <c r="E22" s="469"/>
      <c r="F22" s="469"/>
      <c r="G22" s="468">
        <v>250</v>
      </c>
      <c r="H22" s="468">
        <f t="shared" si="8"/>
        <v>-250</v>
      </c>
      <c r="I22" s="469"/>
      <c r="J22" s="469"/>
      <c r="K22" s="468">
        <v>-250</v>
      </c>
      <c r="L22" s="441">
        <f t="shared" si="2"/>
        <v>0</v>
      </c>
      <c r="M22" s="441"/>
      <c r="N22" s="441"/>
      <c r="O22" s="441">
        <f t="shared" si="7"/>
        <v>0</v>
      </c>
      <c r="P22" s="603" t="s">
        <v>494</v>
      </c>
    </row>
    <row r="23" spans="1:17" ht="48.6" customHeight="1" x14ac:dyDescent="0.25">
      <c r="A23" s="554" t="s">
        <v>194</v>
      </c>
      <c r="B23" s="555" t="s">
        <v>233</v>
      </c>
      <c r="C23" s="553"/>
      <c r="D23" s="491">
        <f>E23+F23+G23</f>
        <v>175</v>
      </c>
      <c r="E23" s="490"/>
      <c r="F23" s="490"/>
      <c r="G23" s="491">
        <v>175</v>
      </c>
      <c r="H23" s="491">
        <f t="shared" si="8"/>
        <v>-18</v>
      </c>
      <c r="I23" s="490"/>
      <c r="J23" s="490"/>
      <c r="K23" s="491">
        <f>K24</f>
        <v>-18</v>
      </c>
      <c r="L23" s="455">
        <f>M23+N23+O23</f>
        <v>157</v>
      </c>
      <c r="M23" s="455"/>
      <c r="N23" s="455"/>
      <c r="O23" s="455">
        <f t="shared" si="7"/>
        <v>157</v>
      </c>
      <c r="P23" s="475"/>
    </row>
    <row r="24" spans="1:17" ht="48.6" customHeight="1" x14ac:dyDescent="0.25">
      <c r="A24" s="547" t="s">
        <v>326</v>
      </c>
      <c r="B24" s="551" t="s">
        <v>9</v>
      </c>
      <c r="C24" s="552" t="s">
        <v>203</v>
      </c>
      <c r="D24" s="468">
        <f>E24+F24+G24</f>
        <v>125</v>
      </c>
      <c r="E24" s="469"/>
      <c r="F24" s="469"/>
      <c r="G24" s="468">
        <v>125</v>
      </c>
      <c r="H24" s="468">
        <f t="shared" si="8"/>
        <v>-18</v>
      </c>
      <c r="I24" s="469"/>
      <c r="J24" s="469"/>
      <c r="K24" s="468">
        <v>-18</v>
      </c>
      <c r="L24" s="441">
        <f>M24+N24+O24</f>
        <v>107</v>
      </c>
      <c r="M24" s="441"/>
      <c r="N24" s="441"/>
      <c r="O24" s="441">
        <f t="shared" si="7"/>
        <v>107</v>
      </c>
      <c r="P24" s="471" t="s">
        <v>495</v>
      </c>
    </row>
    <row r="25" spans="1:17" ht="117" customHeight="1" x14ac:dyDescent="0.25">
      <c r="A25" s="82" t="s">
        <v>244</v>
      </c>
      <c r="B25" s="521" t="s">
        <v>245</v>
      </c>
      <c r="C25" s="522" t="s">
        <v>65</v>
      </c>
      <c r="D25" s="453">
        <f t="shared" si="0"/>
        <v>60</v>
      </c>
      <c r="E25" s="453"/>
      <c r="F25" s="453"/>
      <c r="G25" s="453">
        <v>60</v>
      </c>
      <c r="H25" s="453">
        <f t="shared" si="1"/>
        <v>51</v>
      </c>
      <c r="I25" s="453"/>
      <c r="J25" s="453"/>
      <c r="K25" s="454">
        <v>51</v>
      </c>
      <c r="L25" s="455">
        <f>M25+N25+O25</f>
        <v>111</v>
      </c>
      <c r="M25" s="455"/>
      <c r="N25" s="455"/>
      <c r="O25" s="455">
        <f t="shared" si="5"/>
        <v>111</v>
      </c>
      <c r="P25" s="523" t="s">
        <v>496</v>
      </c>
    </row>
    <row r="26" spans="1:17" x14ac:dyDescent="0.25">
      <c r="A26" s="457"/>
      <c r="B26" s="458" t="s">
        <v>318</v>
      </c>
      <c r="C26" s="457"/>
      <c r="D26" s="460">
        <f t="shared" si="0"/>
        <v>1072430.8999999999</v>
      </c>
      <c r="E26" s="460"/>
      <c r="F26" s="460">
        <v>637582.4</v>
      </c>
      <c r="G26" s="460">
        <v>434848.5</v>
      </c>
      <c r="H26" s="462">
        <f t="shared" si="1"/>
        <v>18072.62154</v>
      </c>
      <c r="I26" s="461"/>
      <c r="J26" s="526">
        <f>J25+J23+J20+J18+J11</f>
        <v>44.479630000000085</v>
      </c>
      <c r="K26" s="526">
        <f>K25+K23+K20+K18+K11</f>
        <v>18028.141909999998</v>
      </c>
      <c r="L26" s="450">
        <f>M26+N26+O26</f>
        <v>1090503.5215400001</v>
      </c>
      <c r="M26" s="450">
        <f t="shared" si="3"/>
        <v>0</v>
      </c>
      <c r="N26" s="450">
        <f t="shared" si="4"/>
        <v>637626.87962999998</v>
      </c>
      <c r="O26" s="450">
        <f t="shared" si="5"/>
        <v>452876.64191000001</v>
      </c>
      <c r="P26" s="459"/>
    </row>
    <row r="27" spans="1:17" x14ac:dyDescent="0.2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4"/>
      <c r="L27" s="444"/>
      <c r="M27" s="444"/>
      <c r="N27" s="444"/>
      <c r="O27" s="444"/>
      <c r="P27" s="296"/>
    </row>
    <row r="28" spans="1:17" x14ac:dyDescent="0.25">
      <c r="A28" s="306"/>
      <c r="B28" s="1203" t="s">
        <v>352</v>
      </c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307"/>
      <c r="O28" s="307"/>
      <c r="P28" s="308"/>
    </row>
    <row r="29" spans="1:17" ht="22.15" customHeight="1" thickBot="1" x14ac:dyDescent="0.3">
      <c r="A29" s="1205" t="s">
        <v>507</v>
      </c>
      <c r="B29" s="1205"/>
      <c r="C29" s="1205"/>
      <c r="D29" s="1205"/>
      <c r="E29" s="1205"/>
      <c r="F29" s="1205"/>
      <c r="G29" s="1205"/>
      <c r="H29" s="1205"/>
      <c r="I29" s="1205"/>
      <c r="J29" s="1205"/>
      <c r="K29" s="1205"/>
      <c r="L29" s="1205"/>
      <c r="M29" s="1205"/>
      <c r="N29" s="1206"/>
      <c r="O29" s="1206"/>
      <c r="P29" s="1206"/>
    </row>
    <row r="30" spans="1:17" ht="27" thickBot="1" x14ac:dyDescent="0.3">
      <c r="A30" s="322"/>
      <c r="B30" s="298" t="s">
        <v>0</v>
      </c>
      <c r="C30" s="299" t="s">
        <v>15</v>
      </c>
      <c r="D30" s="1207" t="s">
        <v>333</v>
      </c>
      <c r="E30" s="1207"/>
      <c r="F30" s="1207"/>
      <c r="G30" s="1207"/>
      <c r="H30" s="1207" t="s">
        <v>317</v>
      </c>
      <c r="I30" s="1207"/>
      <c r="J30" s="1207"/>
      <c r="K30" s="1207"/>
      <c r="L30" s="1207" t="s">
        <v>334</v>
      </c>
      <c r="M30" s="1207"/>
      <c r="N30" s="1207"/>
      <c r="O30" s="1208"/>
      <c r="P30" s="300"/>
    </row>
    <row r="31" spans="1:17" x14ac:dyDescent="0.25">
      <c r="A31" s="332"/>
      <c r="B31" s="326"/>
      <c r="C31" s="301"/>
      <c r="D31" s="302" t="s">
        <v>148</v>
      </c>
      <c r="E31" s="302" t="s">
        <v>4</v>
      </c>
      <c r="F31" s="302" t="s">
        <v>3</v>
      </c>
      <c r="G31" s="302" t="s">
        <v>5</v>
      </c>
      <c r="H31" s="302" t="s">
        <v>148</v>
      </c>
      <c r="I31" s="302" t="s">
        <v>4</v>
      </c>
      <c r="J31" s="302" t="s">
        <v>3</v>
      </c>
      <c r="K31" s="302" t="s">
        <v>5</v>
      </c>
      <c r="L31" s="302" t="s">
        <v>148</v>
      </c>
      <c r="M31" s="302" t="s">
        <v>4</v>
      </c>
      <c r="N31" s="302" t="s">
        <v>3</v>
      </c>
      <c r="O31" s="303" t="s">
        <v>5</v>
      </c>
      <c r="P31" s="304"/>
    </row>
    <row r="32" spans="1:17" ht="79.900000000000006" customHeight="1" x14ac:dyDescent="0.25">
      <c r="A32" s="149" t="s">
        <v>13</v>
      </c>
      <c r="B32" s="485" t="s">
        <v>249</v>
      </c>
      <c r="C32" s="452"/>
      <c r="D32" s="453">
        <f t="shared" ref="D32:D44" si="9">E32+F32+G32</f>
        <v>7759.6</v>
      </c>
      <c r="E32" s="453"/>
      <c r="F32" s="453">
        <v>1261</v>
      </c>
      <c r="G32" s="453">
        <v>6498.6</v>
      </c>
      <c r="H32" s="486">
        <f t="shared" ref="H32:H44" si="10">I32+J32+K32</f>
        <v>562.51199999999994</v>
      </c>
      <c r="I32" s="486"/>
      <c r="J32" s="631">
        <f>J33+J35</f>
        <v>412.512</v>
      </c>
      <c r="K32" s="486">
        <f>K33</f>
        <v>150</v>
      </c>
      <c r="L32" s="487">
        <f t="shared" ref="L32:L44" si="11">M32+N32+O32</f>
        <v>8322.112000000001</v>
      </c>
      <c r="M32" s="487">
        <f t="shared" ref="M32:O32" si="12">I32+E32</f>
        <v>0</v>
      </c>
      <c r="N32" s="487">
        <f t="shared" si="12"/>
        <v>1673.5119999999999</v>
      </c>
      <c r="O32" s="487">
        <f t="shared" si="12"/>
        <v>6648.6</v>
      </c>
      <c r="P32" s="488"/>
      <c r="Q32" s="443"/>
    </row>
    <row r="33" spans="1:16" ht="50.45" customHeight="1" x14ac:dyDescent="0.25">
      <c r="A33" s="149" t="s">
        <v>54</v>
      </c>
      <c r="B33" s="451" t="s">
        <v>300</v>
      </c>
      <c r="C33" s="452"/>
      <c r="D33" s="453">
        <f t="shared" si="9"/>
        <v>2417.1999999999998</v>
      </c>
      <c r="E33" s="453"/>
      <c r="F33" s="453"/>
      <c r="G33" s="453">
        <v>2417.1999999999998</v>
      </c>
      <c r="H33" s="453">
        <f t="shared" si="10"/>
        <v>150</v>
      </c>
      <c r="I33" s="453"/>
      <c r="J33" s="453">
        <v>0</v>
      </c>
      <c r="K33" s="453">
        <f>K34</f>
        <v>150</v>
      </c>
      <c r="L33" s="455">
        <f t="shared" si="11"/>
        <v>2567.1999999999998</v>
      </c>
      <c r="M33" s="463"/>
      <c r="N33" s="487">
        <f>J33+F33</f>
        <v>0</v>
      </c>
      <c r="O33" s="455">
        <f>K33+G33</f>
        <v>2567.1999999999998</v>
      </c>
      <c r="P33" s="464"/>
    </row>
    <row r="34" spans="1:16" ht="50.45" customHeight="1" x14ac:dyDescent="0.25">
      <c r="A34" s="456"/>
      <c r="B34" s="492" t="s">
        <v>499</v>
      </c>
      <c r="C34" s="74" t="s">
        <v>498</v>
      </c>
      <c r="D34" s="323">
        <f t="shared" si="9"/>
        <v>0</v>
      </c>
      <c r="E34" s="323"/>
      <c r="F34" s="323"/>
      <c r="G34" s="323">
        <v>0</v>
      </c>
      <c r="H34" s="323">
        <f t="shared" si="10"/>
        <v>150</v>
      </c>
      <c r="I34" s="323"/>
      <c r="J34" s="323"/>
      <c r="K34" s="323">
        <v>150</v>
      </c>
      <c r="L34" s="441">
        <f t="shared" si="11"/>
        <v>150</v>
      </c>
      <c r="M34" s="442">
        <f>I34+E34</f>
        <v>0</v>
      </c>
      <c r="N34" s="441">
        <f>J34+F34</f>
        <v>0</v>
      </c>
      <c r="O34" s="441">
        <f>K34+G34</f>
        <v>150</v>
      </c>
      <c r="P34" s="482" t="s">
        <v>500</v>
      </c>
    </row>
    <row r="35" spans="1:16" ht="46.15" customHeight="1" x14ac:dyDescent="0.25">
      <c r="A35" s="612" t="s">
        <v>192</v>
      </c>
      <c r="B35" s="451" t="s">
        <v>157</v>
      </c>
      <c r="C35" s="553"/>
      <c r="D35" s="491">
        <f>E35+F35+G35</f>
        <v>3895.1</v>
      </c>
      <c r="E35" s="490"/>
      <c r="F35" s="491">
        <v>1261</v>
      </c>
      <c r="G35" s="491">
        <v>2634.1</v>
      </c>
      <c r="H35" s="491">
        <f>I35+J35+K35</f>
        <v>412.512</v>
      </c>
      <c r="I35" s="490"/>
      <c r="J35" s="632">
        <f>J36+J37+J38+J39+J40</f>
        <v>412.512</v>
      </c>
      <c r="K35" s="491">
        <f>K36+K37+K38+K39</f>
        <v>0</v>
      </c>
      <c r="L35" s="455">
        <f t="shared" ref="L35:L43" si="13">M35+N35+O35</f>
        <v>4307.6120000000001</v>
      </c>
      <c r="M35" s="455"/>
      <c r="N35" s="463">
        <f t="shared" ref="N35:N44" si="14">F35+J35</f>
        <v>1673.5119999999999</v>
      </c>
      <c r="O35" s="455">
        <f t="shared" ref="O35:O44" si="15">G35+K35</f>
        <v>2634.1</v>
      </c>
      <c r="P35" s="602"/>
    </row>
    <row r="36" spans="1:16" ht="28.9" customHeight="1" x14ac:dyDescent="0.25">
      <c r="A36" s="163"/>
      <c r="B36" s="155" t="s">
        <v>109</v>
      </c>
      <c r="C36" s="155" t="s">
        <v>291</v>
      </c>
      <c r="D36" s="548">
        <f>E36+F36+G36</f>
        <v>238.8</v>
      </c>
      <c r="E36" s="549"/>
      <c r="F36" s="548">
        <v>200</v>
      </c>
      <c r="G36" s="548">
        <v>38.799999999999997</v>
      </c>
      <c r="H36" s="548">
        <f>I36+J36+K36</f>
        <v>-44.605759999999997</v>
      </c>
      <c r="I36" s="549"/>
      <c r="J36" s="549">
        <v>-44.605759999999997</v>
      </c>
      <c r="K36" s="548"/>
      <c r="L36" s="441">
        <f t="shared" si="13"/>
        <v>194.19423999999998</v>
      </c>
      <c r="M36" s="441"/>
      <c r="N36" s="441">
        <f t="shared" si="14"/>
        <v>155.39424</v>
      </c>
      <c r="O36" s="441">
        <f t="shared" si="15"/>
        <v>38.799999999999997</v>
      </c>
      <c r="P36" s="1210" t="s">
        <v>508</v>
      </c>
    </row>
    <row r="37" spans="1:16" ht="22.9" customHeight="1" x14ac:dyDescent="0.25">
      <c r="A37" s="163"/>
      <c r="B37" s="155" t="s">
        <v>339</v>
      </c>
      <c r="C37" s="155" t="s">
        <v>313</v>
      </c>
      <c r="D37" s="548">
        <f t="shared" ref="D37:D41" si="16">E37+F37+G37</f>
        <v>274.2</v>
      </c>
      <c r="E37" s="549"/>
      <c r="F37" s="548">
        <v>261</v>
      </c>
      <c r="G37" s="548">
        <v>13.2</v>
      </c>
      <c r="H37" s="548">
        <f t="shared" ref="H37:H40" si="17">I37+J37+K37</f>
        <v>-10.55625</v>
      </c>
      <c r="I37" s="549"/>
      <c r="J37" s="549">
        <v>-10.55625</v>
      </c>
      <c r="K37" s="548"/>
      <c r="L37" s="441">
        <f t="shared" si="13"/>
        <v>263.64375000000001</v>
      </c>
      <c r="M37" s="441"/>
      <c r="N37" s="441">
        <f t="shared" si="14"/>
        <v>250.44374999999999</v>
      </c>
      <c r="O37" s="441">
        <f t="shared" si="15"/>
        <v>13.2</v>
      </c>
      <c r="P37" s="1211"/>
    </row>
    <row r="38" spans="1:16" ht="21" customHeight="1" x14ac:dyDescent="0.25">
      <c r="A38" s="163"/>
      <c r="B38" s="108" t="s">
        <v>292</v>
      </c>
      <c r="C38" s="155" t="s">
        <v>291</v>
      </c>
      <c r="D38" s="548">
        <f t="shared" si="16"/>
        <v>996.5</v>
      </c>
      <c r="E38" s="549"/>
      <c r="F38" s="548">
        <v>800</v>
      </c>
      <c r="G38" s="548">
        <v>196.5</v>
      </c>
      <c r="H38" s="548">
        <f t="shared" si="17"/>
        <v>-142.05727999999999</v>
      </c>
      <c r="I38" s="549"/>
      <c r="J38" s="549">
        <v>-142.05727999999999</v>
      </c>
      <c r="K38" s="548"/>
      <c r="L38" s="441">
        <f t="shared" si="13"/>
        <v>854.44272000000001</v>
      </c>
      <c r="M38" s="441"/>
      <c r="N38" s="441">
        <f t="shared" si="14"/>
        <v>657.94272000000001</v>
      </c>
      <c r="O38" s="441">
        <f t="shared" si="15"/>
        <v>196.5</v>
      </c>
      <c r="P38" s="1211"/>
    </row>
    <row r="39" spans="1:16" ht="26.45" customHeight="1" x14ac:dyDescent="0.25">
      <c r="A39" s="163"/>
      <c r="B39" s="108" t="s">
        <v>473</v>
      </c>
      <c r="C39" s="154" t="s">
        <v>95</v>
      </c>
      <c r="D39" s="548">
        <f t="shared" si="16"/>
        <v>135</v>
      </c>
      <c r="E39" s="549"/>
      <c r="F39" s="548"/>
      <c r="G39" s="548">
        <v>135</v>
      </c>
      <c r="H39" s="548">
        <f t="shared" si="17"/>
        <v>465</v>
      </c>
      <c r="I39" s="549"/>
      <c r="J39" s="548">
        <v>465</v>
      </c>
      <c r="K39" s="548"/>
      <c r="L39" s="441">
        <f t="shared" si="13"/>
        <v>600</v>
      </c>
      <c r="M39" s="441"/>
      <c r="N39" s="441">
        <f t="shared" si="14"/>
        <v>465</v>
      </c>
      <c r="O39" s="441">
        <f t="shared" si="15"/>
        <v>135</v>
      </c>
      <c r="P39" s="1211"/>
    </row>
    <row r="40" spans="1:16" ht="24.6" customHeight="1" x14ac:dyDescent="0.25">
      <c r="A40" s="163"/>
      <c r="B40" s="108" t="s">
        <v>503</v>
      </c>
      <c r="C40" s="155" t="s">
        <v>25</v>
      </c>
      <c r="D40" s="548">
        <f t="shared" si="16"/>
        <v>0</v>
      </c>
      <c r="E40" s="549"/>
      <c r="F40" s="548"/>
      <c r="G40" s="548">
        <v>0</v>
      </c>
      <c r="H40" s="548">
        <f t="shared" si="17"/>
        <v>144.73129</v>
      </c>
      <c r="I40" s="549"/>
      <c r="J40" s="642">
        <v>144.73129</v>
      </c>
      <c r="K40" s="548"/>
      <c r="L40" s="441">
        <f t="shared" si="13"/>
        <v>144.73129</v>
      </c>
      <c r="M40" s="441"/>
      <c r="N40" s="441">
        <f t="shared" si="14"/>
        <v>144.73129</v>
      </c>
      <c r="O40" s="441">
        <f t="shared" si="15"/>
        <v>0</v>
      </c>
      <c r="P40" s="1212"/>
    </row>
    <row r="41" spans="1:16" ht="34.15" customHeight="1" x14ac:dyDescent="0.25">
      <c r="A41" s="149" t="s">
        <v>194</v>
      </c>
      <c r="B41" s="483" t="s">
        <v>273</v>
      </c>
      <c r="C41" s="616"/>
      <c r="D41" s="486">
        <f t="shared" si="16"/>
        <v>32342.3</v>
      </c>
      <c r="E41" s="486"/>
      <c r="F41" s="486">
        <v>29568.5</v>
      </c>
      <c r="G41" s="486">
        <v>2773.8</v>
      </c>
      <c r="H41" s="486">
        <f>I41+J41+K41</f>
        <v>19.7</v>
      </c>
      <c r="I41" s="486"/>
      <c r="J41" s="486">
        <f>J42+J43</f>
        <v>19.7</v>
      </c>
      <c r="K41" s="486"/>
      <c r="L41" s="455">
        <f t="shared" si="13"/>
        <v>32362</v>
      </c>
      <c r="M41" s="617"/>
      <c r="N41" s="455">
        <f t="shared" si="14"/>
        <v>29588.2</v>
      </c>
      <c r="O41" s="487">
        <f t="shared" si="15"/>
        <v>2773.8</v>
      </c>
      <c r="P41" s="618"/>
    </row>
    <row r="42" spans="1:16" ht="56.45" customHeight="1" x14ac:dyDescent="0.25">
      <c r="A42" s="165" t="s">
        <v>504</v>
      </c>
      <c r="B42" s="384" t="s">
        <v>251</v>
      </c>
      <c r="C42" s="166" t="s">
        <v>44</v>
      </c>
      <c r="D42" s="613">
        <f>E42+F42+G42</f>
        <v>28064.6</v>
      </c>
      <c r="E42" s="613"/>
      <c r="F42" s="613">
        <v>28064.6</v>
      </c>
      <c r="G42" s="613"/>
      <c r="H42" s="613">
        <f>I42+J42+K42</f>
        <v>13.7</v>
      </c>
      <c r="I42" s="613"/>
      <c r="J42" s="613">
        <v>13.7</v>
      </c>
      <c r="K42" s="613"/>
      <c r="L42" s="441">
        <f t="shared" si="13"/>
        <v>28078.3</v>
      </c>
      <c r="M42" s="615"/>
      <c r="N42" s="441">
        <f t="shared" si="14"/>
        <v>28078.3</v>
      </c>
      <c r="O42" s="614">
        <f t="shared" si="15"/>
        <v>0</v>
      </c>
      <c r="P42" s="619" t="s">
        <v>502</v>
      </c>
    </row>
    <row r="43" spans="1:16" ht="54" customHeight="1" x14ac:dyDescent="0.25">
      <c r="A43" s="167" t="s">
        <v>252</v>
      </c>
      <c r="B43" s="385" t="s">
        <v>304</v>
      </c>
      <c r="C43" s="168" t="s">
        <v>44</v>
      </c>
      <c r="D43" s="613">
        <f>E43+F43+G43</f>
        <v>3463.9</v>
      </c>
      <c r="E43" s="613"/>
      <c r="F43" s="613">
        <v>1503.9</v>
      </c>
      <c r="G43" s="613">
        <v>1960</v>
      </c>
      <c r="H43" s="613">
        <f>I43+J43+K43</f>
        <v>6</v>
      </c>
      <c r="I43" s="613"/>
      <c r="J43" s="613">
        <v>6</v>
      </c>
      <c r="K43" s="613"/>
      <c r="L43" s="441">
        <f t="shared" si="13"/>
        <v>3469.9</v>
      </c>
      <c r="M43" s="615"/>
      <c r="N43" s="441">
        <f t="shared" si="14"/>
        <v>1509.9</v>
      </c>
      <c r="O43" s="614">
        <f t="shared" si="15"/>
        <v>1960</v>
      </c>
      <c r="P43" s="619" t="s">
        <v>502</v>
      </c>
    </row>
    <row r="44" spans="1:16" ht="15.75" thickBot="1" x14ac:dyDescent="0.3">
      <c r="A44" s="325"/>
      <c r="B44" s="324" t="s">
        <v>318</v>
      </c>
      <c r="C44" s="305"/>
      <c r="D44" s="309">
        <f t="shared" si="9"/>
        <v>43017.9</v>
      </c>
      <c r="E44" s="309">
        <v>2386</v>
      </c>
      <c r="F44" s="309">
        <v>30829.5</v>
      </c>
      <c r="G44" s="309">
        <v>9802.4</v>
      </c>
      <c r="H44" s="310">
        <f t="shared" si="10"/>
        <v>582.21199999999999</v>
      </c>
      <c r="I44" s="310"/>
      <c r="J44" s="330">
        <f>J41+J32</f>
        <v>432.21199999999999</v>
      </c>
      <c r="K44" s="330">
        <f>K32</f>
        <v>150</v>
      </c>
      <c r="L44" s="309">
        <f t="shared" si="11"/>
        <v>43600.112000000001</v>
      </c>
      <c r="M44" s="311">
        <f>E44+I44</f>
        <v>2386</v>
      </c>
      <c r="N44" s="311">
        <f t="shared" si="14"/>
        <v>31261.712</v>
      </c>
      <c r="O44" s="606">
        <f t="shared" si="15"/>
        <v>9952.4</v>
      </c>
      <c r="P44" s="620"/>
    </row>
    <row r="45" spans="1:16" x14ac:dyDescent="0.25">
      <c r="A45" s="312"/>
      <c r="B45" s="374"/>
      <c r="C45" s="312"/>
      <c r="D45" s="307"/>
      <c r="E45" s="307"/>
      <c r="F45" s="307"/>
      <c r="G45" s="307"/>
      <c r="H45" s="470"/>
      <c r="I45" s="470"/>
      <c r="J45" s="375"/>
      <c r="K45" s="375"/>
      <c r="L45" s="307"/>
      <c r="M45" s="307"/>
      <c r="N45" s="307"/>
      <c r="O45" s="307"/>
      <c r="P45" s="657"/>
    </row>
    <row r="46" spans="1:16" x14ac:dyDescent="0.25">
      <c r="A46" s="312"/>
      <c r="B46" s="374"/>
      <c r="C46" s="1213" t="s">
        <v>445</v>
      </c>
      <c r="D46" s="1198"/>
      <c r="E46" s="1198"/>
      <c r="F46" s="1198"/>
      <c r="G46" s="1198"/>
      <c r="H46" s="1198"/>
      <c r="I46" s="1198"/>
      <c r="J46" s="1198"/>
      <c r="K46" s="1198"/>
      <c r="L46" s="1198"/>
      <c r="M46" s="1198"/>
      <c r="N46" s="307"/>
      <c r="O46" s="307"/>
      <c r="P46" s="350"/>
    </row>
    <row r="47" spans="1:16" ht="15.75" thickBot="1" x14ac:dyDescent="0.3">
      <c r="A47" s="312" t="s">
        <v>539</v>
      </c>
      <c r="B47" s="374"/>
      <c r="C47" s="479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307"/>
      <c r="O47" s="307"/>
      <c r="P47" s="350"/>
    </row>
    <row r="48" spans="1:16" ht="27" thickBot="1" x14ac:dyDescent="0.3">
      <c r="A48" s="322"/>
      <c r="B48" s="298" t="s">
        <v>0</v>
      </c>
      <c r="C48" s="299" t="s">
        <v>15</v>
      </c>
      <c r="D48" s="1207" t="s">
        <v>333</v>
      </c>
      <c r="E48" s="1207"/>
      <c r="F48" s="1207"/>
      <c r="G48" s="1207"/>
      <c r="H48" s="1207" t="s">
        <v>317</v>
      </c>
      <c r="I48" s="1207"/>
      <c r="J48" s="1207"/>
      <c r="K48" s="1207"/>
      <c r="L48" s="1207" t="s">
        <v>334</v>
      </c>
      <c r="M48" s="1207"/>
      <c r="N48" s="1207"/>
      <c r="O48" s="1208"/>
      <c r="P48" s="658"/>
    </row>
    <row r="49" spans="1:16" x14ac:dyDescent="0.25">
      <c r="A49" s="301"/>
      <c r="B49" s="326"/>
      <c r="C49" s="301"/>
      <c r="D49" s="302" t="s">
        <v>148</v>
      </c>
      <c r="E49" s="302" t="s">
        <v>4</v>
      </c>
      <c r="F49" s="302" t="s">
        <v>3</v>
      </c>
      <c r="G49" s="302" t="s">
        <v>5</v>
      </c>
      <c r="H49" s="302" t="s">
        <v>148</v>
      </c>
      <c r="I49" s="302" t="s">
        <v>4</v>
      </c>
      <c r="J49" s="302" t="s">
        <v>3</v>
      </c>
      <c r="K49" s="302" t="s">
        <v>5</v>
      </c>
      <c r="L49" s="302" t="s">
        <v>148</v>
      </c>
      <c r="M49" s="302" t="s">
        <v>4</v>
      </c>
      <c r="N49" s="302" t="s">
        <v>3</v>
      </c>
      <c r="O49" s="303" t="s">
        <v>5</v>
      </c>
      <c r="P49" s="304"/>
    </row>
    <row r="50" spans="1:16" ht="51.75" x14ac:dyDescent="0.25">
      <c r="A50" s="472" t="s">
        <v>188</v>
      </c>
      <c r="B50" s="473" t="s">
        <v>377</v>
      </c>
      <c r="C50" s="473" t="s">
        <v>378</v>
      </c>
      <c r="D50" s="490">
        <f t="shared" ref="D50:D55" si="18">E50+F50+G50</f>
        <v>48459.1</v>
      </c>
      <c r="E50" s="490"/>
      <c r="F50" s="490"/>
      <c r="G50" s="490">
        <v>48459.1</v>
      </c>
      <c r="H50" s="491">
        <f t="shared" ref="H50:H55" si="19">I50+J50+K50</f>
        <v>387.54908999999998</v>
      </c>
      <c r="I50" s="490"/>
      <c r="J50" s="490"/>
      <c r="K50" s="491">
        <f>K51+K52</f>
        <v>387.54908999999998</v>
      </c>
      <c r="L50" s="491">
        <f t="shared" ref="L50:L55" si="20">M50+N50+O50</f>
        <v>48846.649089999999</v>
      </c>
      <c r="M50" s="490"/>
      <c r="N50" s="490"/>
      <c r="O50" s="524">
        <f>K50+G50</f>
        <v>48846.649089999999</v>
      </c>
      <c r="P50" s="475"/>
    </row>
    <row r="51" spans="1:16" ht="82.15" customHeight="1" x14ac:dyDescent="0.25">
      <c r="A51" s="19" t="s">
        <v>6</v>
      </c>
      <c r="B51" s="14" t="s">
        <v>379</v>
      </c>
      <c r="C51" s="14" t="s">
        <v>380</v>
      </c>
      <c r="D51" s="469">
        <f t="shared" si="18"/>
        <v>10413.1</v>
      </c>
      <c r="E51" s="302"/>
      <c r="F51" s="302"/>
      <c r="G51" s="469">
        <v>10413.1</v>
      </c>
      <c r="H51" s="468">
        <f t="shared" si="19"/>
        <v>-11.6942</v>
      </c>
      <c r="I51" s="302"/>
      <c r="J51" s="302"/>
      <c r="K51" s="468">
        <v>-11.6942</v>
      </c>
      <c r="L51" s="468">
        <f t="shared" si="20"/>
        <v>10401.4058</v>
      </c>
      <c r="M51" s="469"/>
      <c r="N51" s="469"/>
      <c r="O51" s="495">
        <f>G51+K51</f>
        <v>10401.4058</v>
      </c>
      <c r="P51" s="471" t="s">
        <v>542</v>
      </c>
    </row>
    <row r="52" spans="1:16" ht="83.45" customHeight="1" x14ac:dyDescent="0.25">
      <c r="A52" s="19" t="s">
        <v>8</v>
      </c>
      <c r="B52" s="386" t="s">
        <v>381</v>
      </c>
      <c r="C52" s="14" t="s">
        <v>113</v>
      </c>
      <c r="D52" s="469">
        <f>E52+F52+G52</f>
        <v>38256.5</v>
      </c>
      <c r="E52" s="302"/>
      <c r="F52" s="302"/>
      <c r="G52" s="469">
        <v>38256.5</v>
      </c>
      <c r="H52" s="468">
        <f>I52+J52+K52</f>
        <v>399.24329</v>
      </c>
      <c r="I52" s="302"/>
      <c r="J52" s="302"/>
      <c r="K52" s="468">
        <v>399.24329</v>
      </c>
      <c r="L52" s="468">
        <f t="shared" si="20"/>
        <v>38655.743289999999</v>
      </c>
      <c r="M52" s="469"/>
      <c r="N52" s="469"/>
      <c r="O52" s="495">
        <f>G52+K52</f>
        <v>38655.743289999999</v>
      </c>
      <c r="P52" s="471" t="s">
        <v>537</v>
      </c>
    </row>
    <row r="53" spans="1:16" ht="51.75" x14ac:dyDescent="0.25">
      <c r="A53" s="472" t="s">
        <v>13</v>
      </c>
      <c r="B53" s="484" t="s">
        <v>382</v>
      </c>
      <c r="C53" s="484" t="s">
        <v>45</v>
      </c>
      <c r="D53" s="453">
        <f t="shared" si="18"/>
        <v>690</v>
      </c>
      <c r="E53" s="453"/>
      <c r="F53" s="453"/>
      <c r="G53" s="453">
        <v>690</v>
      </c>
      <c r="H53" s="453">
        <f t="shared" si="19"/>
        <v>120</v>
      </c>
      <c r="I53" s="474"/>
      <c r="J53" s="474"/>
      <c r="K53" s="453">
        <f>K54</f>
        <v>120</v>
      </c>
      <c r="L53" s="453">
        <f t="shared" si="20"/>
        <v>810</v>
      </c>
      <c r="M53" s="474"/>
      <c r="N53" s="474"/>
      <c r="O53" s="455">
        <f>K53+G53</f>
        <v>810</v>
      </c>
      <c r="P53" s="475"/>
    </row>
    <row r="54" spans="1:16" ht="47.45" customHeight="1" x14ac:dyDescent="0.25">
      <c r="A54" s="19"/>
      <c r="B54" s="14" t="s">
        <v>452</v>
      </c>
      <c r="C54" s="373" t="s">
        <v>457</v>
      </c>
      <c r="D54" s="476">
        <f t="shared" si="18"/>
        <v>0</v>
      </c>
      <c r="E54" s="476"/>
      <c r="F54" s="476"/>
      <c r="G54" s="476">
        <v>0</v>
      </c>
      <c r="H54" s="476">
        <f t="shared" si="19"/>
        <v>120</v>
      </c>
      <c r="I54" s="431"/>
      <c r="J54" s="476"/>
      <c r="K54" s="476">
        <v>120</v>
      </c>
      <c r="L54" s="476">
        <f t="shared" si="20"/>
        <v>120</v>
      </c>
      <c r="M54" s="442">
        <f>I54+E54</f>
        <v>0</v>
      </c>
      <c r="N54" s="442">
        <f>J54+F54</f>
        <v>0</v>
      </c>
      <c r="O54" s="441">
        <f>K54+G54</f>
        <v>120</v>
      </c>
      <c r="P54" s="471" t="s">
        <v>497</v>
      </c>
    </row>
    <row r="55" spans="1:16" ht="15.75" thickBot="1" x14ac:dyDescent="0.3">
      <c r="A55" s="467"/>
      <c r="B55" s="324" t="s">
        <v>318</v>
      </c>
      <c r="C55" s="467"/>
      <c r="D55" s="462">
        <f t="shared" si="18"/>
        <v>49692.540999999997</v>
      </c>
      <c r="E55" s="461"/>
      <c r="F55" s="461"/>
      <c r="G55" s="653">
        <v>49692.540999999997</v>
      </c>
      <c r="H55" s="462">
        <f t="shared" si="19"/>
        <v>507.54908999999998</v>
      </c>
      <c r="I55" s="461"/>
      <c r="J55" s="461">
        <f>J53+J50</f>
        <v>0</v>
      </c>
      <c r="K55" s="653">
        <f>K53+K50</f>
        <v>507.54908999999998</v>
      </c>
      <c r="L55" s="462">
        <f t="shared" si="20"/>
        <v>50200.090089999998</v>
      </c>
      <c r="M55" s="461"/>
      <c r="N55" s="461"/>
      <c r="O55" s="450">
        <f>K55+G55</f>
        <v>50200.090089999998</v>
      </c>
      <c r="P55" s="471"/>
    </row>
    <row r="56" spans="1:16" x14ac:dyDescent="0.25">
      <c r="A56" s="312"/>
      <c r="B56" s="374"/>
      <c r="C56" s="312"/>
      <c r="D56" s="470"/>
      <c r="E56" s="621"/>
      <c r="F56" s="621"/>
      <c r="G56" s="470"/>
      <c r="H56" s="470"/>
      <c r="I56" s="621"/>
      <c r="J56" s="621"/>
      <c r="K56" s="470"/>
      <c r="L56" s="470"/>
      <c r="M56" s="621"/>
      <c r="N56" s="621"/>
      <c r="O56" s="622"/>
      <c r="P56" s="308"/>
    </row>
    <row r="57" spans="1:16" x14ac:dyDescent="0.25">
      <c r="A57" s="312"/>
      <c r="B57" s="374"/>
      <c r="C57" s="312"/>
      <c r="D57" s="470"/>
      <c r="E57" s="621"/>
      <c r="F57" s="621"/>
      <c r="G57" s="470"/>
      <c r="H57" s="470" t="s">
        <v>505</v>
      </c>
      <c r="I57" s="621"/>
      <c r="J57" s="621"/>
      <c r="K57" s="470"/>
      <c r="L57" s="470"/>
      <c r="M57" s="621"/>
      <c r="N57" s="621"/>
      <c r="O57" s="622"/>
      <c r="P57" s="308"/>
    </row>
    <row r="58" spans="1:16" ht="15.75" thickBot="1" x14ac:dyDescent="0.3">
      <c r="A58" s="312" t="s">
        <v>535</v>
      </c>
      <c r="B58" s="374"/>
      <c r="C58" s="312"/>
      <c r="D58" s="470"/>
      <c r="E58" s="621"/>
      <c r="F58" s="621"/>
      <c r="G58" s="470"/>
      <c r="H58" s="470"/>
      <c r="I58" s="621"/>
      <c r="J58" s="621"/>
      <c r="K58" s="470"/>
      <c r="L58" s="470"/>
      <c r="M58" s="621"/>
      <c r="N58" s="621"/>
      <c r="O58" s="622"/>
      <c r="P58" s="308"/>
    </row>
    <row r="59" spans="1:16" ht="27" thickBot="1" x14ac:dyDescent="0.3">
      <c r="A59" s="322"/>
      <c r="B59" s="298" t="s">
        <v>0</v>
      </c>
      <c r="C59" s="299" t="s">
        <v>15</v>
      </c>
      <c r="D59" s="1207" t="s">
        <v>333</v>
      </c>
      <c r="E59" s="1207"/>
      <c r="F59" s="1207"/>
      <c r="G59" s="1207"/>
      <c r="H59" s="1207" t="s">
        <v>317</v>
      </c>
      <c r="I59" s="1207"/>
      <c r="J59" s="1207"/>
      <c r="K59" s="1207"/>
      <c r="L59" s="1207" t="s">
        <v>334</v>
      </c>
      <c r="M59" s="1207"/>
      <c r="N59" s="1207"/>
      <c r="O59" s="1208"/>
      <c r="P59" s="658"/>
    </row>
    <row r="60" spans="1:16" x14ac:dyDescent="0.25">
      <c r="A60" s="301"/>
      <c r="B60" s="326"/>
      <c r="C60" s="301"/>
      <c r="D60" s="302" t="s">
        <v>148</v>
      </c>
      <c r="E60" s="302" t="s">
        <v>4</v>
      </c>
      <c r="F60" s="302" t="s">
        <v>3</v>
      </c>
      <c r="G60" s="302" t="s">
        <v>5</v>
      </c>
      <c r="H60" s="302" t="s">
        <v>148</v>
      </c>
      <c r="I60" s="302" t="s">
        <v>4</v>
      </c>
      <c r="J60" s="302" t="s">
        <v>3</v>
      </c>
      <c r="K60" s="302" t="s">
        <v>5</v>
      </c>
      <c r="L60" s="302" t="s">
        <v>148</v>
      </c>
      <c r="M60" s="302" t="s">
        <v>4</v>
      </c>
      <c r="N60" s="302" t="s">
        <v>3</v>
      </c>
      <c r="O60" s="303" t="s">
        <v>5</v>
      </c>
      <c r="P60" s="304"/>
    </row>
    <row r="61" spans="1:16" ht="141" x14ac:dyDescent="0.25">
      <c r="A61" s="474" t="s">
        <v>188</v>
      </c>
      <c r="B61" s="358" t="s">
        <v>506</v>
      </c>
      <c r="C61" s="358" t="s">
        <v>427</v>
      </c>
      <c r="D61" s="490">
        <f>E61+F61+G61</f>
        <v>71899.899999999994</v>
      </c>
      <c r="E61" s="490"/>
      <c r="F61" s="490">
        <v>71899.899999999994</v>
      </c>
      <c r="G61" s="623"/>
      <c r="H61" s="491">
        <f t="shared" ref="H61" si="21">I61+J61+K61</f>
        <v>-2387.6</v>
      </c>
      <c r="I61" s="490"/>
      <c r="J61" s="490">
        <v>-2387.6</v>
      </c>
      <c r="K61" s="491">
        <v>0</v>
      </c>
      <c r="L61" s="491">
        <f t="shared" ref="L61:L62" si="22">M61+N61+O61</f>
        <v>69512.299999999988</v>
      </c>
      <c r="M61" s="490"/>
      <c r="N61" s="463">
        <f>J61+F61</f>
        <v>69512.299999999988</v>
      </c>
      <c r="O61" s="524"/>
      <c r="P61" s="475" t="s">
        <v>533</v>
      </c>
    </row>
    <row r="62" spans="1:16" ht="65.25" thickBot="1" x14ac:dyDescent="0.3">
      <c r="A62" s="628" t="s">
        <v>193</v>
      </c>
      <c r="B62" s="627" t="s">
        <v>432</v>
      </c>
      <c r="C62" s="627" t="s">
        <v>51</v>
      </c>
      <c r="D62" s="486">
        <f>E62+F62+G62</f>
        <v>2570.8000000000002</v>
      </c>
      <c r="E62" s="628"/>
      <c r="F62" s="628">
        <v>2570.8000000000002</v>
      </c>
      <c r="G62" s="486"/>
      <c r="H62" s="486">
        <f>I62+J62+K62</f>
        <v>0.2</v>
      </c>
      <c r="I62" s="628"/>
      <c r="J62" s="628">
        <v>0.2</v>
      </c>
      <c r="K62" s="486"/>
      <c r="L62" s="629">
        <f t="shared" si="22"/>
        <v>2571</v>
      </c>
      <c r="M62" s="628"/>
      <c r="N62" s="617">
        <f>J62+F62</f>
        <v>2571</v>
      </c>
      <c r="O62" s="630"/>
      <c r="P62" s="519" t="s">
        <v>532</v>
      </c>
    </row>
    <row r="63" spans="1:16" ht="15.75" thickBot="1" x14ac:dyDescent="0.3">
      <c r="A63" s="633"/>
      <c r="B63" s="624" t="s">
        <v>318</v>
      </c>
      <c r="C63" s="625"/>
      <c r="D63" s="626">
        <f>E63+F63+G63</f>
        <v>74530.7</v>
      </c>
      <c r="E63" s="607"/>
      <c r="F63" s="607">
        <v>74470.7</v>
      </c>
      <c r="G63" s="626">
        <v>60</v>
      </c>
      <c r="H63" s="626">
        <f>I63+J63+K63</f>
        <v>-2387.4</v>
      </c>
      <c r="I63" s="607"/>
      <c r="J63" s="607">
        <f>J62+J61</f>
        <v>-2387.4</v>
      </c>
      <c r="K63" s="626">
        <f>K62+K61</f>
        <v>0</v>
      </c>
      <c r="L63" s="626">
        <f>M63+N63+O63</f>
        <v>72143.3</v>
      </c>
      <c r="M63" s="634">
        <f t="shared" ref="M63:N63" si="23">I63+E63</f>
        <v>0</v>
      </c>
      <c r="N63" s="634">
        <f t="shared" si="23"/>
        <v>72083.3</v>
      </c>
      <c r="O63" s="634">
        <f>K63+G63</f>
        <v>60</v>
      </c>
      <c r="P63" s="300"/>
    </row>
    <row r="64" spans="1:16" ht="15.75" thickBot="1" x14ac:dyDescent="0.3">
      <c r="A64" s="312"/>
      <c r="B64" s="374"/>
      <c r="C64" s="312"/>
      <c r="D64" s="307"/>
      <c r="E64" s="307"/>
      <c r="F64" s="307"/>
      <c r="G64" s="307"/>
      <c r="H64" s="375"/>
      <c r="I64" s="375"/>
      <c r="J64" s="375"/>
      <c r="K64" s="375"/>
      <c r="L64" s="307"/>
      <c r="M64" s="307"/>
      <c r="N64" s="307"/>
      <c r="O64" s="307"/>
      <c r="P64" s="620"/>
    </row>
    <row r="65" spans="1:16" ht="15.75" thickBot="1" x14ac:dyDescent="0.3">
      <c r="A65" s="315"/>
      <c r="B65" s="316" t="s">
        <v>319</v>
      </c>
      <c r="C65" s="316"/>
      <c r="D65" s="317">
        <f>E65+F65+G65</f>
        <v>1239828</v>
      </c>
      <c r="E65" s="318">
        <v>2386</v>
      </c>
      <c r="F65" s="318">
        <v>742882.6</v>
      </c>
      <c r="G65" s="318">
        <v>494559.4</v>
      </c>
      <c r="H65" s="317">
        <f>I65+J65+K65</f>
        <v>16774.982629999999</v>
      </c>
      <c r="I65" s="318">
        <f>I44</f>
        <v>0</v>
      </c>
      <c r="J65" s="645">
        <f>J63+J55+J44+J26</f>
        <v>-1910.7083700000001</v>
      </c>
      <c r="K65" s="605">
        <f>K63+K55+K44+K26</f>
        <v>18685.690999999999</v>
      </c>
      <c r="L65" s="318">
        <f>M65+N65+O65</f>
        <v>1256602.98263</v>
      </c>
      <c r="M65" s="318">
        <f>E65+I65</f>
        <v>2386</v>
      </c>
      <c r="N65" s="318">
        <f>F65+J65</f>
        <v>740971.89162999997</v>
      </c>
      <c r="O65" s="663">
        <f>G65+K65</f>
        <v>513245.09100000001</v>
      </c>
      <c r="P65" s="620"/>
    </row>
    <row r="66" spans="1:16" x14ac:dyDescent="0.25">
      <c r="A66" s="313"/>
      <c r="B66" s="313"/>
      <c r="C66" s="313"/>
      <c r="D66" s="307"/>
      <c r="E66" s="314"/>
      <c r="F66" s="314"/>
      <c r="G66" s="314"/>
      <c r="H66" s="307"/>
      <c r="I66" s="314"/>
      <c r="J66" s="314"/>
      <c r="K66" s="349"/>
      <c r="L66" s="314"/>
      <c r="M66" s="314"/>
      <c r="N66" s="314"/>
      <c r="O66" s="314"/>
      <c r="P66" s="350"/>
    </row>
    <row r="67" spans="1:16" ht="15.75" x14ac:dyDescent="0.25">
      <c r="B67" s="296" t="s">
        <v>362</v>
      </c>
      <c r="C67" s="266"/>
      <c r="D67" s="271"/>
      <c r="E67" s="272"/>
      <c r="F67" s="266"/>
      <c r="G67" s="266"/>
      <c r="H67" s="273"/>
      <c r="I67" s="269"/>
      <c r="J67" s="480"/>
    </row>
    <row r="68" spans="1:16" ht="18.75" x14ac:dyDescent="0.3">
      <c r="B68" s="336"/>
      <c r="C68" s="334"/>
      <c r="D68" s="337"/>
      <c r="E68" s="338"/>
      <c r="F68" s="333"/>
      <c r="G68" s="333"/>
      <c r="H68" s="339"/>
      <c r="I68" s="340"/>
      <c r="J68" s="341"/>
      <c r="K68" s="336"/>
    </row>
    <row r="69" spans="1:16" x14ac:dyDescent="0.25">
      <c r="C69" s="278"/>
      <c r="D69" s="278"/>
      <c r="E69" s="278"/>
      <c r="F69" s="278"/>
      <c r="G69" s="278"/>
      <c r="H69" s="278"/>
      <c r="I69" s="278"/>
      <c r="J69" s="278"/>
    </row>
    <row r="70" spans="1:16" ht="15.75" x14ac:dyDescent="0.25">
      <c r="C70" s="266"/>
      <c r="D70" s="266"/>
      <c r="E70" s="274"/>
      <c r="F70" s="266"/>
      <c r="G70" s="266"/>
      <c r="H70" s="275"/>
      <c r="I70" s="269"/>
      <c r="J70" s="268"/>
    </row>
    <row r="71" spans="1:16" ht="15.75" x14ac:dyDescent="0.25">
      <c r="C71" s="267"/>
      <c r="D71" s="276"/>
      <c r="E71" s="277"/>
      <c r="F71" s="267"/>
      <c r="G71" s="266"/>
      <c r="H71" s="273"/>
      <c r="I71" s="270"/>
      <c r="J71" s="268"/>
    </row>
    <row r="72" spans="1:16" ht="15.75" x14ac:dyDescent="0.25">
      <c r="C72" s="266"/>
      <c r="D72" s="271"/>
      <c r="E72" s="272"/>
      <c r="F72" s="266"/>
      <c r="G72" s="266"/>
      <c r="H72" s="273"/>
      <c r="I72" s="269"/>
      <c r="J72" s="268"/>
    </row>
    <row r="73" spans="1:16" ht="15.75" x14ac:dyDescent="0.25">
      <c r="C73" s="266"/>
      <c r="D73" s="271"/>
      <c r="E73" s="272"/>
      <c r="F73" s="266"/>
      <c r="G73" s="266"/>
      <c r="H73" s="273"/>
      <c r="I73" s="269"/>
      <c r="J73" s="268"/>
    </row>
    <row r="74" spans="1:16" ht="15.75" x14ac:dyDescent="0.25">
      <c r="C74" s="267"/>
      <c r="D74" s="276"/>
      <c r="E74" s="277"/>
      <c r="F74" s="267"/>
      <c r="G74" s="267"/>
      <c r="H74" s="273"/>
      <c r="I74" s="270"/>
      <c r="J74" s="268"/>
    </row>
    <row r="75" spans="1:16" x14ac:dyDescent="0.25">
      <c r="C75" s="279"/>
      <c r="D75" s="279"/>
      <c r="E75" s="280"/>
      <c r="F75" s="279"/>
      <c r="G75" s="279"/>
      <c r="H75" s="281"/>
      <c r="I75" s="282"/>
      <c r="J75" s="283"/>
    </row>
    <row r="76" spans="1:16" x14ac:dyDescent="0.25">
      <c r="C76" s="278"/>
      <c r="D76" s="278"/>
      <c r="E76" s="278"/>
      <c r="F76" s="278"/>
      <c r="G76" s="278"/>
      <c r="H76" s="278"/>
      <c r="I76" s="278"/>
      <c r="J76" s="278"/>
    </row>
    <row r="77" spans="1:16" x14ac:dyDescent="0.25">
      <c r="C77" s="265"/>
      <c r="D77" s="265"/>
      <c r="E77" s="265"/>
      <c r="F77" s="265"/>
      <c r="G77" s="265"/>
      <c r="H77" s="265"/>
      <c r="I77" s="265"/>
      <c r="J77" s="278"/>
    </row>
  </sheetData>
  <mergeCells count="19"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  <mergeCell ref="B4:O4"/>
    <mergeCell ref="B28:M28"/>
    <mergeCell ref="A29:P29"/>
    <mergeCell ref="B6:M6"/>
    <mergeCell ref="D9:G9"/>
    <mergeCell ref="H9:K9"/>
    <mergeCell ref="L9:O9"/>
    <mergeCell ref="A5:N5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218" t="s">
        <v>551</v>
      </c>
      <c r="B2" s="1219"/>
      <c r="C2" s="1219"/>
      <c r="D2" s="1219"/>
      <c r="E2" s="1219"/>
      <c r="F2" s="1219"/>
      <c r="G2" s="1219"/>
    </row>
    <row r="3" spans="1:7" x14ac:dyDescent="0.25">
      <c r="A3" s="1219"/>
      <c r="B3" s="1219"/>
      <c r="C3" s="1219"/>
      <c r="D3" s="1219"/>
      <c r="E3" s="1219"/>
      <c r="F3" s="1219"/>
      <c r="G3" s="1219"/>
    </row>
    <row r="4" spans="1:7" x14ac:dyDescent="0.25">
      <c r="A4" s="383"/>
      <c r="B4" s="383"/>
      <c r="C4" s="383"/>
      <c r="D4" s="652" t="s">
        <v>550</v>
      </c>
      <c r="E4" s="346">
        <v>2016</v>
      </c>
      <c r="F4" s="382" t="s">
        <v>390</v>
      </c>
      <c r="G4" s="383"/>
    </row>
    <row r="5" spans="1:7" ht="15.75" thickBot="1" x14ac:dyDescent="0.3">
      <c r="A5" s="449"/>
      <c r="B5" s="449"/>
      <c r="C5" s="449"/>
      <c r="D5" s="449"/>
      <c r="E5" s="448"/>
      <c r="F5" s="382"/>
      <c r="G5" s="449"/>
    </row>
    <row r="6" spans="1:7" ht="20.45" customHeight="1" x14ac:dyDescent="0.25">
      <c r="A6" s="506" t="s">
        <v>446</v>
      </c>
      <c r="B6" s="1220" t="s">
        <v>453</v>
      </c>
      <c r="C6" s="1221"/>
      <c r="D6" s="1221"/>
      <c r="E6" s="1221"/>
      <c r="F6" s="1221"/>
      <c r="G6" s="1222"/>
    </row>
    <row r="7" spans="1:7" ht="18" customHeight="1" x14ac:dyDescent="0.25">
      <c r="A7" s="507" t="s">
        <v>8</v>
      </c>
      <c r="B7" s="345" t="s">
        <v>366</v>
      </c>
      <c r="C7" s="494" t="s">
        <v>447</v>
      </c>
      <c r="D7" s="345" t="s">
        <v>367</v>
      </c>
      <c r="E7" s="345" t="s">
        <v>451</v>
      </c>
      <c r="F7" s="537">
        <v>13040.3</v>
      </c>
      <c r="G7" s="380" t="s">
        <v>478</v>
      </c>
    </row>
    <row r="8" spans="1:7" ht="18" customHeight="1" x14ac:dyDescent="0.25">
      <c r="A8" s="507"/>
      <c r="B8" s="345" t="s">
        <v>366</v>
      </c>
      <c r="C8" s="494" t="s">
        <v>447</v>
      </c>
      <c r="D8" s="345" t="s">
        <v>367</v>
      </c>
      <c r="E8" s="345" t="s">
        <v>451</v>
      </c>
      <c r="F8" s="496">
        <v>-32.14</v>
      </c>
      <c r="G8" s="380" t="s">
        <v>479</v>
      </c>
    </row>
    <row r="9" spans="1:7" ht="18" customHeight="1" x14ac:dyDescent="0.25">
      <c r="A9" s="507"/>
      <c r="B9" s="345" t="s">
        <v>366</v>
      </c>
      <c r="C9" s="494" t="s">
        <v>447</v>
      </c>
      <c r="D9" s="345" t="s">
        <v>367</v>
      </c>
      <c r="E9" s="345" t="s">
        <v>451</v>
      </c>
      <c r="F9" s="496">
        <v>6171.8</v>
      </c>
      <c r="G9" s="380" t="s">
        <v>151</v>
      </c>
    </row>
    <row r="10" spans="1:7" ht="13.15" customHeight="1" x14ac:dyDescent="0.25">
      <c r="A10" s="507"/>
      <c r="B10" s="345" t="s">
        <v>366</v>
      </c>
      <c r="C10" s="494" t="s">
        <v>447</v>
      </c>
      <c r="D10" s="345" t="s">
        <v>367</v>
      </c>
      <c r="E10" s="345" t="s">
        <v>451</v>
      </c>
      <c r="F10" s="496">
        <v>60.93</v>
      </c>
      <c r="G10" s="380" t="s">
        <v>25</v>
      </c>
    </row>
    <row r="11" spans="1:7" ht="13.15" customHeight="1" x14ac:dyDescent="0.25">
      <c r="A11" s="507"/>
      <c r="B11" s="345" t="s">
        <v>366</v>
      </c>
      <c r="C11" s="494" t="s">
        <v>447</v>
      </c>
      <c r="D11" s="345" t="s">
        <v>367</v>
      </c>
      <c r="E11" s="345" t="s">
        <v>451</v>
      </c>
      <c r="F11" s="496">
        <v>-232.87</v>
      </c>
      <c r="G11" s="380" t="s">
        <v>480</v>
      </c>
    </row>
    <row r="12" spans="1:7" ht="13.15" customHeight="1" x14ac:dyDescent="0.25">
      <c r="A12" s="507"/>
      <c r="B12" s="345" t="s">
        <v>366</v>
      </c>
      <c r="C12" s="494" t="s">
        <v>447</v>
      </c>
      <c r="D12" s="345" t="s">
        <v>367</v>
      </c>
      <c r="E12" s="345" t="s">
        <v>451</v>
      </c>
      <c r="F12" s="496">
        <v>-220.08</v>
      </c>
      <c r="G12" s="380" t="s">
        <v>464</v>
      </c>
    </row>
    <row r="13" spans="1:7" ht="13.15" customHeight="1" x14ac:dyDescent="0.25">
      <c r="A13" s="507"/>
      <c r="B13" s="345" t="s">
        <v>366</v>
      </c>
      <c r="C13" s="494" t="s">
        <v>447</v>
      </c>
      <c r="D13" s="345" t="s">
        <v>367</v>
      </c>
      <c r="E13" s="345" t="s">
        <v>451</v>
      </c>
      <c r="F13" s="496">
        <v>22502.54</v>
      </c>
      <c r="G13" s="380" t="s">
        <v>29</v>
      </c>
    </row>
    <row r="14" spans="1:7" ht="12.6" customHeight="1" x14ac:dyDescent="0.25">
      <c r="A14" s="507"/>
      <c r="B14" s="345" t="s">
        <v>366</v>
      </c>
      <c r="C14" s="494" t="s">
        <v>447</v>
      </c>
      <c r="D14" s="345" t="s">
        <v>367</v>
      </c>
      <c r="E14" s="345" t="s">
        <v>451</v>
      </c>
      <c r="F14" s="496">
        <v>2964.8</v>
      </c>
      <c r="G14" s="380" t="s">
        <v>31</v>
      </c>
    </row>
    <row r="15" spans="1:7" ht="14.45" customHeight="1" x14ac:dyDescent="0.25">
      <c r="A15" s="507"/>
      <c r="B15" s="345" t="s">
        <v>366</v>
      </c>
      <c r="C15" s="494" t="s">
        <v>447</v>
      </c>
      <c r="D15" s="345" t="s">
        <v>367</v>
      </c>
      <c r="E15" s="345" t="s">
        <v>451</v>
      </c>
      <c r="F15" s="496">
        <v>13126.03</v>
      </c>
      <c r="G15" s="380" t="s">
        <v>353</v>
      </c>
    </row>
    <row r="16" spans="1:7" ht="14.45" customHeight="1" x14ac:dyDescent="0.25">
      <c r="A16" s="507"/>
      <c r="B16" s="345" t="s">
        <v>366</v>
      </c>
      <c r="C16" s="494" t="s">
        <v>447</v>
      </c>
      <c r="D16" s="345" t="s">
        <v>367</v>
      </c>
      <c r="E16" s="345" t="s">
        <v>451</v>
      </c>
      <c r="F16" s="496">
        <v>-390.9</v>
      </c>
      <c r="G16" s="380" t="s">
        <v>345</v>
      </c>
    </row>
    <row r="17" spans="1:7" ht="13.9" customHeight="1" x14ac:dyDescent="0.25">
      <c r="A17" s="507"/>
      <c r="B17" s="345" t="s">
        <v>366</v>
      </c>
      <c r="C17" s="494" t="s">
        <v>447</v>
      </c>
      <c r="D17" s="345" t="s">
        <v>367</v>
      </c>
      <c r="E17" s="345" t="s">
        <v>451</v>
      </c>
      <c r="F17" s="496">
        <v>43293.5</v>
      </c>
      <c r="G17" s="380" t="s">
        <v>23</v>
      </c>
    </row>
    <row r="18" spans="1:7" ht="13.9" customHeight="1" x14ac:dyDescent="0.25">
      <c r="A18" s="507"/>
      <c r="B18" s="345" t="s">
        <v>366</v>
      </c>
      <c r="C18" s="494" t="s">
        <v>447</v>
      </c>
      <c r="D18" s="345" t="s">
        <v>367</v>
      </c>
      <c r="E18" s="345" t="s">
        <v>451</v>
      </c>
      <c r="F18" s="496">
        <v>69476</v>
      </c>
      <c r="G18" s="380" t="s">
        <v>108</v>
      </c>
    </row>
    <row r="19" spans="1:7" ht="16.149999999999999" customHeight="1" x14ac:dyDescent="0.25">
      <c r="A19" s="508"/>
      <c r="B19" s="498" t="s">
        <v>366</v>
      </c>
      <c r="C19" s="466" t="s">
        <v>447</v>
      </c>
      <c r="D19" s="498" t="s">
        <v>367</v>
      </c>
      <c r="E19" s="498" t="s">
        <v>451</v>
      </c>
      <c r="F19" s="499">
        <f>SUM(F7:F18)</f>
        <v>169759.91</v>
      </c>
      <c r="G19" s="509"/>
    </row>
    <row r="20" spans="1:7" ht="16.149999999999999" customHeight="1" x14ac:dyDescent="0.25">
      <c r="A20" s="508"/>
      <c r="B20" s="497" t="s">
        <v>366</v>
      </c>
      <c r="C20" s="494" t="s">
        <v>447</v>
      </c>
      <c r="D20" s="497" t="s">
        <v>370</v>
      </c>
      <c r="E20" s="497" t="s">
        <v>451</v>
      </c>
      <c r="F20" s="525">
        <v>10305.200000000001</v>
      </c>
      <c r="G20" s="510" t="s">
        <v>47</v>
      </c>
    </row>
    <row r="21" spans="1:7" ht="16.149999999999999" customHeight="1" x14ac:dyDescent="0.25">
      <c r="A21" s="508"/>
      <c r="B21" s="497" t="s">
        <v>366</v>
      </c>
      <c r="C21" s="494" t="s">
        <v>447</v>
      </c>
      <c r="D21" s="497" t="s">
        <v>370</v>
      </c>
      <c r="E21" s="497" t="s">
        <v>451</v>
      </c>
      <c r="F21" s="525">
        <v>9232.9</v>
      </c>
      <c r="G21" s="510" t="s">
        <v>161</v>
      </c>
    </row>
    <row r="22" spans="1:7" ht="13.15" customHeight="1" x14ac:dyDescent="0.25">
      <c r="A22" s="508"/>
      <c r="B22" s="497" t="s">
        <v>366</v>
      </c>
      <c r="C22" s="494" t="s">
        <v>447</v>
      </c>
      <c r="D22" s="497" t="s">
        <v>370</v>
      </c>
      <c r="E22" s="497" t="s">
        <v>451</v>
      </c>
      <c r="F22" s="496">
        <v>11380</v>
      </c>
      <c r="G22" s="510" t="s">
        <v>454</v>
      </c>
    </row>
    <row r="23" spans="1:7" ht="13.15" customHeight="1" x14ac:dyDescent="0.25">
      <c r="A23" s="508"/>
      <c r="B23" s="497" t="s">
        <v>366</v>
      </c>
      <c r="C23" s="494" t="s">
        <v>447</v>
      </c>
      <c r="D23" s="497" t="s">
        <v>370</v>
      </c>
      <c r="E23" s="497" t="s">
        <v>451</v>
      </c>
      <c r="F23" s="537">
        <v>14720.95</v>
      </c>
      <c r="G23" s="563" t="s">
        <v>70</v>
      </c>
    </row>
    <row r="24" spans="1:7" ht="15.6" customHeight="1" x14ac:dyDescent="0.25">
      <c r="A24" s="508"/>
      <c r="B24" s="498" t="s">
        <v>366</v>
      </c>
      <c r="C24" s="466" t="s">
        <v>447</v>
      </c>
      <c r="D24" s="498" t="s">
        <v>370</v>
      </c>
      <c r="E24" s="498" t="s">
        <v>451</v>
      </c>
      <c r="F24" s="499">
        <f>SUM(F20:F23)</f>
        <v>45639.05</v>
      </c>
      <c r="G24" s="509"/>
    </row>
    <row r="25" spans="1:7" ht="14.45" customHeight="1" x14ac:dyDescent="0.25">
      <c r="A25" s="570"/>
      <c r="B25" s="571" t="s">
        <v>366</v>
      </c>
      <c r="C25" s="572" t="s">
        <v>447</v>
      </c>
      <c r="D25" s="573"/>
      <c r="E25" s="573"/>
      <c r="F25" s="574">
        <f>F24+F19</f>
        <v>215398.96000000002</v>
      </c>
      <c r="G25" s="600"/>
    </row>
    <row r="26" spans="1:7" ht="14.45" customHeight="1" x14ac:dyDescent="0.25">
      <c r="A26" s="508"/>
      <c r="B26" s="497" t="s">
        <v>366</v>
      </c>
      <c r="C26" s="494" t="s">
        <v>476</v>
      </c>
      <c r="D26" s="497" t="s">
        <v>455</v>
      </c>
      <c r="E26" s="497" t="s">
        <v>458</v>
      </c>
      <c r="F26" s="540">
        <v>-180609.64</v>
      </c>
      <c r="G26" s="1214" t="s">
        <v>483</v>
      </c>
    </row>
    <row r="27" spans="1:7" ht="14.45" customHeight="1" x14ac:dyDescent="0.25">
      <c r="A27" s="508"/>
      <c r="B27" s="497" t="s">
        <v>366</v>
      </c>
      <c r="C27" s="494" t="s">
        <v>476</v>
      </c>
      <c r="D27" s="497" t="s">
        <v>455</v>
      </c>
      <c r="E27" s="497" t="s">
        <v>459</v>
      </c>
      <c r="F27" s="540">
        <v>-54582.41</v>
      </c>
      <c r="G27" s="1229"/>
    </row>
    <row r="28" spans="1:7" ht="14.45" customHeight="1" x14ac:dyDescent="0.25">
      <c r="A28" s="508"/>
      <c r="B28" s="498" t="s">
        <v>366</v>
      </c>
      <c r="C28" s="466" t="s">
        <v>476</v>
      </c>
      <c r="D28" s="498" t="s">
        <v>455</v>
      </c>
      <c r="E28" s="497"/>
      <c r="F28" s="538">
        <f>F26+F27</f>
        <v>-235192.05000000002</v>
      </c>
      <c r="G28" s="539"/>
    </row>
    <row r="29" spans="1:7" ht="14.45" customHeight="1" x14ac:dyDescent="0.25">
      <c r="A29" s="508"/>
      <c r="B29" s="497" t="s">
        <v>366</v>
      </c>
      <c r="C29" s="494" t="s">
        <v>476</v>
      </c>
      <c r="D29" s="497" t="s">
        <v>456</v>
      </c>
      <c r="E29" s="497" t="s">
        <v>458</v>
      </c>
      <c r="F29" s="540">
        <v>-307200</v>
      </c>
      <c r="G29" s="1214" t="s">
        <v>484</v>
      </c>
    </row>
    <row r="30" spans="1:7" ht="14.45" customHeight="1" x14ac:dyDescent="0.25">
      <c r="A30" s="508"/>
      <c r="B30" s="497" t="s">
        <v>366</v>
      </c>
      <c r="C30" s="494" t="s">
        <v>476</v>
      </c>
      <c r="D30" s="497" t="s">
        <v>456</v>
      </c>
      <c r="E30" s="497" t="s">
        <v>459</v>
      </c>
      <c r="F30" s="540">
        <v>-92800</v>
      </c>
      <c r="G30" s="1229"/>
    </row>
    <row r="31" spans="1:7" ht="14.45" customHeight="1" x14ac:dyDescent="0.25">
      <c r="A31" s="508"/>
      <c r="B31" s="498" t="s">
        <v>366</v>
      </c>
      <c r="C31" s="466" t="s">
        <v>476</v>
      </c>
      <c r="D31" s="498" t="s">
        <v>456</v>
      </c>
      <c r="E31" s="497"/>
      <c r="F31" s="538">
        <f>F29+F30</f>
        <v>-400000</v>
      </c>
      <c r="G31" s="539"/>
    </row>
    <row r="32" spans="1:7" ht="14.45" customHeight="1" x14ac:dyDescent="0.25">
      <c r="A32" s="570"/>
      <c r="B32" s="571" t="s">
        <v>366</v>
      </c>
      <c r="C32" s="572" t="s">
        <v>476</v>
      </c>
      <c r="D32" s="571"/>
      <c r="E32" s="575"/>
      <c r="F32" s="576">
        <f>F28+F31</f>
        <v>-635192.05000000005</v>
      </c>
      <c r="G32" s="601"/>
    </row>
    <row r="33" spans="1:8" ht="14.45" customHeight="1" x14ac:dyDescent="0.25">
      <c r="A33" s="588" t="s">
        <v>489</v>
      </c>
      <c r="B33" s="596"/>
      <c r="C33" s="590"/>
      <c r="D33" s="596"/>
      <c r="E33" s="597"/>
      <c r="F33" s="598">
        <f>F32+F25</f>
        <v>-419793.09</v>
      </c>
      <c r="G33" s="599"/>
    </row>
    <row r="34" spans="1:8" x14ac:dyDescent="0.25">
      <c r="A34" s="508" t="s">
        <v>6</v>
      </c>
      <c r="B34" s="345" t="s">
        <v>369</v>
      </c>
      <c r="C34" s="494" t="s">
        <v>447</v>
      </c>
      <c r="D34" s="345" t="s">
        <v>367</v>
      </c>
      <c r="E34" s="345" t="s">
        <v>451</v>
      </c>
      <c r="F34" s="381">
        <v>-700</v>
      </c>
      <c r="G34" s="511" t="s">
        <v>35</v>
      </c>
      <c r="H34" s="344"/>
    </row>
    <row r="35" spans="1:8" x14ac:dyDescent="0.25">
      <c r="A35" s="512"/>
      <c r="B35" s="345" t="s">
        <v>369</v>
      </c>
      <c r="C35" s="494" t="s">
        <v>447</v>
      </c>
      <c r="D35" s="345" t="s">
        <v>367</v>
      </c>
      <c r="E35" s="345" t="s">
        <v>451</v>
      </c>
      <c r="F35" s="381">
        <v>10</v>
      </c>
      <c r="G35" s="511" t="s">
        <v>18</v>
      </c>
      <c r="H35" s="344"/>
    </row>
    <row r="36" spans="1:8" x14ac:dyDescent="0.25">
      <c r="A36" s="512"/>
      <c r="B36" s="345" t="s">
        <v>369</v>
      </c>
      <c r="C36" s="494" t="s">
        <v>447</v>
      </c>
      <c r="D36" s="345" t="s">
        <v>367</v>
      </c>
      <c r="E36" s="345" t="s">
        <v>451</v>
      </c>
      <c r="F36" s="381">
        <v>5830</v>
      </c>
      <c r="G36" s="493" t="s">
        <v>40</v>
      </c>
      <c r="H36" s="344"/>
    </row>
    <row r="37" spans="1:8" x14ac:dyDescent="0.25">
      <c r="A37" s="512"/>
      <c r="B37" s="345" t="s">
        <v>369</v>
      </c>
      <c r="C37" s="494" t="s">
        <v>447</v>
      </c>
      <c r="D37" s="345" t="s">
        <v>367</v>
      </c>
      <c r="E37" s="345" t="s">
        <v>451</v>
      </c>
      <c r="F37" s="381">
        <v>-700</v>
      </c>
      <c r="G37" s="493" t="s">
        <v>72</v>
      </c>
      <c r="H37" s="344"/>
    </row>
    <row r="38" spans="1:8" x14ac:dyDescent="0.25">
      <c r="A38" s="512"/>
      <c r="B38" s="345" t="s">
        <v>369</v>
      </c>
      <c r="C38" s="494" t="s">
        <v>447</v>
      </c>
      <c r="D38" s="345" t="s">
        <v>367</v>
      </c>
      <c r="E38" s="345" t="s">
        <v>451</v>
      </c>
      <c r="F38" s="381">
        <v>-190</v>
      </c>
      <c r="G38" s="493" t="s">
        <v>99</v>
      </c>
      <c r="H38" s="344"/>
    </row>
    <row r="39" spans="1:8" x14ac:dyDescent="0.25">
      <c r="A39" s="512"/>
      <c r="B39" s="345" t="s">
        <v>369</v>
      </c>
      <c r="C39" s="494" t="s">
        <v>447</v>
      </c>
      <c r="D39" s="345" t="s">
        <v>367</v>
      </c>
      <c r="E39" s="345" t="s">
        <v>451</v>
      </c>
      <c r="F39" s="381">
        <v>8065</v>
      </c>
      <c r="G39" s="493" t="s">
        <v>291</v>
      </c>
      <c r="H39" s="344"/>
    </row>
    <row r="40" spans="1:8" x14ac:dyDescent="0.25">
      <c r="A40" s="512"/>
      <c r="B40" s="387" t="s">
        <v>369</v>
      </c>
      <c r="C40" s="466" t="s">
        <v>447</v>
      </c>
      <c r="D40" s="387" t="s">
        <v>367</v>
      </c>
      <c r="E40" s="387" t="s">
        <v>451</v>
      </c>
      <c r="F40" s="500">
        <f>F34+F35+F36+F37+F38+F39</f>
        <v>12315</v>
      </c>
      <c r="G40" s="493"/>
      <c r="H40" s="344"/>
    </row>
    <row r="41" spans="1:8" x14ac:dyDescent="0.25">
      <c r="A41" s="512"/>
      <c r="B41" s="345" t="s">
        <v>369</v>
      </c>
      <c r="C41" s="494" t="s">
        <v>447</v>
      </c>
      <c r="D41" s="345" t="s">
        <v>370</v>
      </c>
      <c r="E41" s="345" t="s">
        <v>451</v>
      </c>
      <c r="F41" s="381">
        <v>-400</v>
      </c>
      <c r="G41" s="493" t="s">
        <v>95</v>
      </c>
      <c r="H41" s="344"/>
    </row>
    <row r="42" spans="1:8" x14ac:dyDescent="0.25">
      <c r="A42" s="512"/>
      <c r="B42" s="345" t="s">
        <v>369</v>
      </c>
      <c r="C42" s="494" t="s">
        <v>447</v>
      </c>
      <c r="D42" s="345" t="s">
        <v>370</v>
      </c>
      <c r="E42" s="345" t="s">
        <v>451</v>
      </c>
      <c r="F42" s="381">
        <v>77615</v>
      </c>
      <c r="G42" s="380" t="s">
        <v>16</v>
      </c>
      <c r="H42" s="344"/>
    </row>
    <row r="43" spans="1:8" x14ac:dyDescent="0.25">
      <c r="A43" s="512"/>
      <c r="B43" s="387" t="s">
        <v>369</v>
      </c>
      <c r="C43" s="466" t="s">
        <v>447</v>
      </c>
      <c r="D43" s="387" t="s">
        <v>370</v>
      </c>
      <c r="E43" s="387" t="s">
        <v>451</v>
      </c>
      <c r="F43" s="500">
        <f>F41+F42</f>
        <v>77215</v>
      </c>
      <c r="G43" s="380"/>
      <c r="H43" s="344"/>
    </row>
    <row r="44" spans="1:8" x14ac:dyDescent="0.25">
      <c r="A44" s="588" t="s">
        <v>488</v>
      </c>
      <c r="B44" s="589" t="s">
        <v>369</v>
      </c>
      <c r="C44" s="590" t="s">
        <v>447</v>
      </c>
      <c r="D44" s="589"/>
      <c r="E44" s="589"/>
      <c r="F44" s="591">
        <f>F43+F40</f>
        <v>89530</v>
      </c>
      <c r="G44" s="592"/>
      <c r="H44" s="344"/>
    </row>
    <row r="45" spans="1:8" x14ac:dyDescent="0.25">
      <c r="A45" s="508" t="s">
        <v>52</v>
      </c>
      <c r="B45" s="345" t="s">
        <v>369</v>
      </c>
      <c r="C45" s="494" t="s">
        <v>447</v>
      </c>
      <c r="D45" s="345" t="s">
        <v>370</v>
      </c>
      <c r="E45" s="345" t="s">
        <v>451</v>
      </c>
      <c r="F45" s="381">
        <v>-200</v>
      </c>
      <c r="G45" s="380" t="s">
        <v>481</v>
      </c>
      <c r="H45" s="344"/>
    </row>
    <row r="46" spans="1:8" x14ac:dyDescent="0.25">
      <c r="A46" s="512"/>
      <c r="B46" s="345" t="s">
        <v>369</v>
      </c>
      <c r="C46" s="494" t="s">
        <v>447</v>
      </c>
      <c r="D46" s="345" t="s">
        <v>370</v>
      </c>
      <c r="E46" s="345" t="s">
        <v>451</v>
      </c>
      <c r="F46" s="381">
        <v>-15000</v>
      </c>
      <c r="G46" s="380" t="s">
        <v>482</v>
      </c>
      <c r="H46" s="344"/>
    </row>
    <row r="47" spans="1:8" x14ac:dyDescent="0.25">
      <c r="A47" s="588" t="s">
        <v>490</v>
      </c>
      <c r="B47" s="593" t="s">
        <v>369</v>
      </c>
      <c r="C47" s="593" t="s">
        <v>447</v>
      </c>
      <c r="D47" s="593"/>
      <c r="E47" s="594"/>
      <c r="F47" s="591">
        <f>F45+F46</f>
        <v>-15200</v>
      </c>
      <c r="G47" s="595"/>
      <c r="H47" s="344"/>
    </row>
    <row r="48" spans="1:8" x14ac:dyDescent="0.25">
      <c r="A48" s="508" t="s">
        <v>216</v>
      </c>
      <c r="B48" s="529" t="s">
        <v>366</v>
      </c>
      <c r="C48" s="529" t="s">
        <v>485</v>
      </c>
      <c r="D48" s="529" t="s">
        <v>370</v>
      </c>
      <c r="E48" s="530" t="s">
        <v>475</v>
      </c>
      <c r="F48" s="531">
        <v>-50086</v>
      </c>
      <c r="G48" s="536" t="s">
        <v>442</v>
      </c>
      <c r="H48" s="344"/>
    </row>
    <row r="49" spans="1:8" x14ac:dyDescent="0.25">
      <c r="A49" s="541" t="s">
        <v>191</v>
      </c>
      <c r="B49" s="529" t="s">
        <v>369</v>
      </c>
      <c r="C49" s="529" t="s">
        <v>468</v>
      </c>
      <c r="D49" s="529" t="s">
        <v>370</v>
      </c>
      <c r="E49" s="530" t="s">
        <v>368</v>
      </c>
      <c r="F49" s="531">
        <v>-250000</v>
      </c>
      <c r="G49" s="536" t="s">
        <v>388</v>
      </c>
      <c r="H49" s="344"/>
    </row>
    <row r="50" spans="1:8" x14ac:dyDescent="0.25">
      <c r="A50" s="541" t="s">
        <v>466</v>
      </c>
      <c r="B50" s="559" t="s">
        <v>369</v>
      </c>
      <c r="C50" s="559" t="s">
        <v>467</v>
      </c>
      <c r="D50" s="559" t="s">
        <v>370</v>
      </c>
      <c r="E50" s="560">
        <v>21201</v>
      </c>
      <c r="F50" s="561">
        <v>1700</v>
      </c>
      <c r="G50" s="1216" t="s">
        <v>465</v>
      </c>
      <c r="H50" s="344"/>
    </row>
    <row r="51" spans="1:8" x14ac:dyDescent="0.25">
      <c r="A51" s="541"/>
      <c r="B51" s="559" t="s">
        <v>369</v>
      </c>
      <c r="C51" s="559" t="s">
        <v>467</v>
      </c>
      <c r="D51" s="559" t="s">
        <v>370</v>
      </c>
      <c r="E51" s="559" t="s">
        <v>491</v>
      </c>
      <c r="F51" s="562">
        <v>9000</v>
      </c>
      <c r="G51" s="1230"/>
      <c r="H51" s="344"/>
    </row>
    <row r="52" spans="1:8" x14ac:dyDescent="0.25">
      <c r="A52" s="541"/>
      <c r="B52" s="559" t="s">
        <v>369</v>
      </c>
      <c r="C52" s="559" t="s">
        <v>467</v>
      </c>
      <c r="D52" s="559" t="s">
        <v>370</v>
      </c>
      <c r="E52" s="559" t="s">
        <v>492</v>
      </c>
      <c r="F52" s="562">
        <v>22300</v>
      </c>
      <c r="G52" s="1217"/>
      <c r="H52" s="344"/>
    </row>
    <row r="53" spans="1:8" x14ac:dyDescent="0.25">
      <c r="A53" s="577"/>
      <c r="B53" s="534" t="s">
        <v>369</v>
      </c>
      <c r="C53" s="534" t="s">
        <v>467</v>
      </c>
      <c r="D53" s="534" t="s">
        <v>370</v>
      </c>
      <c r="E53" s="559"/>
      <c r="F53" s="531">
        <f>F50+F51+F52</f>
        <v>33000</v>
      </c>
      <c r="G53" s="542"/>
      <c r="H53" s="344"/>
    </row>
    <row r="54" spans="1:8" x14ac:dyDescent="0.25">
      <c r="A54" s="578" t="s">
        <v>471</v>
      </c>
      <c r="B54" s="579"/>
      <c r="C54" s="580"/>
      <c r="D54" s="581"/>
      <c r="E54" s="581"/>
      <c r="F54" s="527">
        <f>F25+F32+F44+F47+F48+F49+F53</f>
        <v>-612549.09000000008</v>
      </c>
      <c r="G54" s="582"/>
      <c r="H54" s="344"/>
    </row>
    <row r="55" spans="1:8" x14ac:dyDescent="0.25">
      <c r="A55" s="508" t="s">
        <v>460</v>
      </c>
      <c r="B55" s="1223" t="s">
        <v>461</v>
      </c>
      <c r="C55" s="1224"/>
      <c r="D55" s="1224"/>
      <c r="E55" s="1224"/>
      <c r="F55" s="1224"/>
      <c r="G55" s="1225"/>
      <c r="H55" s="344"/>
    </row>
    <row r="56" spans="1:8" x14ac:dyDescent="0.25">
      <c r="A56" s="514" t="s">
        <v>54</v>
      </c>
      <c r="B56" s="528" t="s">
        <v>369</v>
      </c>
      <c r="C56" s="532" t="s">
        <v>486</v>
      </c>
      <c r="D56" s="532" t="s">
        <v>367</v>
      </c>
      <c r="E56" s="532" t="s">
        <v>368</v>
      </c>
      <c r="F56" s="533">
        <v>150000</v>
      </c>
      <c r="G56" s="510" t="s">
        <v>387</v>
      </c>
      <c r="H56" s="344"/>
    </row>
    <row r="57" spans="1:8" x14ac:dyDescent="0.25">
      <c r="A57" s="508"/>
      <c r="B57" s="528"/>
      <c r="C57" s="535"/>
      <c r="D57" s="535"/>
      <c r="E57" s="535"/>
      <c r="F57" s="533"/>
      <c r="G57" s="380"/>
      <c r="H57" s="344"/>
    </row>
    <row r="58" spans="1:8" x14ac:dyDescent="0.25">
      <c r="A58" s="578" t="s">
        <v>469</v>
      </c>
      <c r="B58" s="583"/>
      <c r="C58" s="584"/>
      <c r="D58" s="584"/>
      <c r="E58" s="584"/>
      <c r="F58" s="527">
        <f>F56+F57</f>
        <v>150000</v>
      </c>
      <c r="G58" s="585"/>
      <c r="H58" s="344"/>
    </row>
    <row r="59" spans="1:8" ht="25.9" customHeight="1" x14ac:dyDescent="0.25">
      <c r="A59" s="508" t="s">
        <v>449</v>
      </c>
      <c r="B59" s="1226" t="s">
        <v>462</v>
      </c>
      <c r="C59" s="1227"/>
      <c r="D59" s="1227"/>
      <c r="E59" s="1227"/>
      <c r="F59" s="1227"/>
      <c r="G59" s="1228"/>
      <c r="H59" s="344"/>
    </row>
    <row r="60" spans="1:8" ht="18" customHeight="1" x14ac:dyDescent="0.25">
      <c r="A60" s="508" t="s">
        <v>6</v>
      </c>
      <c r="B60" s="466" t="s">
        <v>448</v>
      </c>
      <c r="C60" s="543" t="s">
        <v>477</v>
      </c>
      <c r="D60" s="544">
        <v>612</v>
      </c>
      <c r="E60" s="544">
        <v>21291</v>
      </c>
      <c r="F60" s="545">
        <v>-11694.2</v>
      </c>
      <c r="G60" s="564" t="s">
        <v>450</v>
      </c>
      <c r="H60" s="344"/>
    </row>
    <row r="61" spans="1:8" ht="14.45" customHeight="1" x14ac:dyDescent="0.25">
      <c r="A61" s="508" t="s">
        <v>8</v>
      </c>
      <c r="B61" s="466" t="s">
        <v>448</v>
      </c>
      <c r="C61" s="543" t="s">
        <v>477</v>
      </c>
      <c r="D61" s="544">
        <v>612</v>
      </c>
      <c r="E61" s="544">
        <v>21291</v>
      </c>
      <c r="F61" s="545">
        <v>-48187.71</v>
      </c>
      <c r="G61" s="565" t="s">
        <v>113</v>
      </c>
      <c r="H61" s="344"/>
    </row>
    <row r="62" spans="1:8" ht="14.45" customHeight="1" x14ac:dyDescent="0.25">
      <c r="A62" s="566"/>
      <c r="B62" s="466" t="s">
        <v>448</v>
      </c>
      <c r="C62" s="543" t="s">
        <v>477</v>
      </c>
      <c r="D62" s="544">
        <v>612</v>
      </c>
      <c r="E62" s="544"/>
      <c r="F62" s="545">
        <f>F60+F61</f>
        <v>-59881.91</v>
      </c>
      <c r="G62" s="567"/>
      <c r="H62" s="344"/>
    </row>
    <row r="63" spans="1:8" x14ac:dyDescent="0.25">
      <c r="A63" s="568" t="s">
        <v>8</v>
      </c>
      <c r="B63" s="345" t="s">
        <v>448</v>
      </c>
      <c r="C63" s="494" t="s">
        <v>487</v>
      </c>
      <c r="D63" s="437">
        <v>611</v>
      </c>
      <c r="E63" s="437">
        <v>21101</v>
      </c>
      <c r="F63" s="525">
        <v>309086.5</v>
      </c>
      <c r="G63" s="1214" t="s">
        <v>113</v>
      </c>
      <c r="H63" s="344"/>
    </row>
    <row r="64" spans="1:8" x14ac:dyDescent="0.25">
      <c r="A64" s="508"/>
      <c r="B64" s="345" t="s">
        <v>448</v>
      </c>
      <c r="C64" s="494" t="s">
        <v>487</v>
      </c>
      <c r="D64" s="437">
        <v>611</v>
      </c>
      <c r="E64" s="437">
        <v>21301</v>
      </c>
      <c r="F64" s="525">
        <v>93344.5</v>
      </c>
      <c r="G64" s="1215"/>
      <c r="H64" s="344"/>
    </row>
    <row r="65" spans="1:8" x14ac:dyDescent="0.25">
      <c r="A65" s="508"/>
      <c r="B65" s="387" t="s">
        <v>448</v>
      </c>
      <c r="C65" s="466" t="s">
        <v>487</v>
      </c>
      <c r="D65" s="502">
        <v>611</v>
      </c>
      <c r="E65" s="502"/>
      <c r="F65" s="477">
        <f>F63+F64</f>
        <v>402431</v>
      </c>
      <c r="G65" s="513"/>
      <c r="H65" s="344"/>
    </row>
    <row r="66" spans="1:8" x14ac:dyDescent="0.25">
      <c r="A66" s="508" t="s">
        <v>13</v>
      </c>
      <c r="B66" s="501" t="s">
        <v>369</v>
      </c>
      <c r="C66" s="501" t="s">
        <v>463</v>
      </c>
      <c r="D66" s="501" t="s">
        <v>370</v>
      </c>
      <c r="E66" s="437">
        <v>29003</v>
      </c>
      <c r="F66" s="557">
        <v>50400</v>
      </c>
      <c r="G66" s="1216" t="s">
        <v>457</v>
      </c>
      <c r="H66" s="344"/>
    </row>
    <row r="67" spans="1:8" x14ac:dyDescent="0.25">
      <c r="A67" s="508"/>
      <c r="B67" s="501" t="s">
        <v>369</v>
      </c>
      <c r="C67" s="501" t="s">
        <v>463</v>
      </c>
      <c r="D67" s="501" t="s">
        <v>370</v>
      </c>
      <c r="E67" s="437">
        <v>29099</v>
      </c>
      <c r="F67" s="557">
        <v>69600</v>
      </c>
      <c r="G67" s="1217"/>
      <c r="H67" s="344"/>
    </row>
    <row r="68" spans="1:8" x14ac:dyDescent="0.25">
      <c r="A68" s="569"/>
      <c r="B68" s="558" t="s">
        <v>369</v>
      </c>
      <c r="C68" s="558" t="s">
        <v>463</v>
      </c>
      <c r="D68" s="558" t="s">
        <v>370</v>
      </c>
      <c r="E68" s="558"/>
      <c r="F68" s="477">
        <f>F67+F66</f>
        <v>120000</v>
      </c>
      <c r="G68" s="513"/>
      <c r="H68" s="344"/>
    </row>
    <row r="69" spans="1:8" x14ac:dyDescent="0.25">
      <c r="A69" s="508"/>
      <c r="B69" s="387"/>
      <c r="C69" s="387"/>
      <c r="D69" s="387"/>
      <c r="E69" s="387"/>
      <c r="F69" s="477"/>
      <c r="G69" s="513"/>
      <c r="H69" s="344"/>
    </row>
    <row r="70" spans="1:8" x14ac:dyDescent="0.25">
      <c r="A70" s="578" t="s">
        <v>470</v>
      </c>
      <c r="B70" s="586"/>
      <c r="C70" s="586"/>
      <c r="D70" s="586"/>
      <c r="E70" s="586"/>
      <c r="F70" s="527">
        <f>F60+F61+F65+F68</f>
        <v>462549.08999999997</v>
      </c>
      <c r="G70" s="587"/>
      <c r="H70" s="344"/>
    </row>
    <row r="71" spans="1:8" ht="15.75" thickBot="1" x14ac:dyDescent="0.3">
      <c r="A71" s="515"/>
      <c r="B71" s="503"/>
      <c r="C71" s="504" t="s">
        <v>148</v>
      </c>
      <c r="D71" s="503"/>
      <c r="E71" s="504"/>
      <c r="F71" s="505">
        <f>F70+F58+F54</f>
        <v>0</v>
      </c>
      <c r="G71" s="556"/>
      <c r="H71" s="344"/>
    </row>
    <row r="72" spans="1:8" x14ac:dyDescent="0.25">
      <c r="B72" s="344"/>
      <c r="C72" s="344"/>
      <c r="D72" s="344"/>
      <c r="E72" s="344"/>
      <c r="F72" s="344"/>
      <c r="G72" s="344"/>
    </row>
    <row r="73" spans="1:8" x14ac:dyDescent="0.25">
      <c r="A73" s="344" t="s">
        <v>389</v>
      </c>
      <c r="B73" s="344"/>
      <c r="C73" s="344"/>
      <c r="D73" s="344"/>
      <c r="E73" s="344"/>
      <c r="F73" s="344"/>
      <c r="G73" s="344"/>
    </row>
    <row r="74" spans="1:8" x14ac:dyDescent="0.25">
      <c r="A74" s="344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sorokina_lv</cp:lastModifiedBy>
  <cp:lastPrinted>2017-12-13T09:28:39Z</cp:lastPrinted>
  <dcterms:created xsi:type="dcterms:W3CDTF">2013-09-29T08:43:10Z</dcterms:created>
  <dcterms:modified xsi:type="dcterms:W3CDTF">2017-12-13T09:58:54Z</dcterms:modified>
</cp:coreProperties>
</file>