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1"/>
  </bookViews>
  <sheets>
    <sheet name="1 подпр" sheetId="1" r:id="rId1"/>
    <sheet name="2 подпр " sheetId="2" r:id="rId2"/>
    <sheet name="свод" sheetId="3" r:id="rId3"/>
    <sheet name="пояснительная" sheetId="4" r:id="rId4"/>
    <sheet name="расшифровка" sheetId="5" r:id="rId5"/>
  </sheets>
  <definedNames>
    <definedName name="_xlnm.Print_Titles" localSheetId="0">'1 подпр'!$4:$7</definedName>
    <definedName name="_xlnm.Print_Titles" localSheetId="1">'2 подпр '!$4:$7</definedName>
    <definedName name="_xlnm.Print_Area" localSheetId="0">'1 подпр'!$A$1:$AC$65</definedName>
    <definedName name="_xlnm.Print_Area" localSheetId="1">'2 подпр '!$A$1:$Z$65</definedName>
  </definedNames>
  <calcPr fullCalcOnLoad="1"/>
</workbook>
</file>

<file path=xl/sharedStrings.xml><?xml version="1.0" encoding="utf-8"?>
<sst xmlns="http://schemas.openxmlformats.org/spreadsheetml/2006/main" count="342" uniqueCount="145">
  <si>
    <t>Всего</t>
  </si>
  <si>
    <t>Исполнитель</t>
  </si>
  <si>
    <t>1.1.</t>
  </si>
  <si>
    <t>1.</t>
  </si>
  <si>
    <t>1.2.</t>
  </si>
  <si>
    <t>Выполнение работ по вовлечению молодежи в социальную практику</t>
  </si>
  <si>
    <t>Выполнение социально-профилактической работы среди молодежи</t>
  </si>
  <si>
    <t>1.5.</t>
  </si>
  <si>
    <t>2.</t>
  </si>
  <si>
    <t>2.1.</t>
  </si>
  <si>
    <t>2.2.</t>
  </si>
  <si>
    <t>2.3.</t>
  </si>
  <si>
    <t>3.</t>
  </si>
  <si>
    <t>3.2.</t>
  </si>
  <si>
    <t>МБУ  "Музей истории города Кандалакша"</t>
  </si>
  <si>
    <t>Осуществление библиотечного, библиографического и информационного обслуживания пользователей</t>
  </si>
  <si>
    <t>Предоставление доступа к справочно-поисковому аппарату и базам данных библиотек</t>
  </si>
  <si>
    <t>Предоставление доступа к изданиям, переведенным в электронный вид, хранящимся в муниципальным библиотеках, в том числе к фонду редких книг, с учетом требований законодательства Российской Федерации об авторских и смежных правах</t>
  </si>
  <si>
    <t>Работа по формированию и учету фондов библиотек.</t>
  </si>
  <si>
    <t>Работа по библиографической обработке документов и организации каталогов</t>
  </si>
  <si>
    <t>Обеспечение физического сохранения и  безопасности фонда библиотек</t>
  </si>
  <si>
    <t>Методическая работа в установленной сфере деятельности</t>
  </si>
  <si>
    <t xml:space="preserve">МБУ "Кандалакшская ЦБС" </t>
  </si>
  <si>
    <t>МБУ "Кандалакшская ЦБС"</t>
  </si>
  <si>
    <t>3.1.</t>
  </si>
  <si>
    <t>МБУ "Музей истории города Кандалакша"</t>
  </si>
  <si>
    <t>Общая сумма финансирования</t>
  </si>
  <si>
    <t>Работа по проведению фестивалей, выставок, смотров, конкурсов, конференций и городских праздничных мероприятий</t>
  </si>
  <si>
    <t>1.3.</t>
  </si>
  <si>
    <t>1.4.</t>
  </si>
  <si>
    <t>2019 год</t>
  </si>
  <si>
    <t>2020 год</t>
  </si>
  <si>
    <t>2021 год</t>
  </si>
  <si>
    <t>План реализации мероприятий подпрограммы 1 "Наследие"</t>
  </si>
  <si>
    <t>Всего по подпрограмме 1 "Наследие"</t>
  </si>
  <si>
    <t>Наименование задач, мероприятий</t>
  </si>
  <si>
    <t>тыс.руб.</t>
  </si>
  <si>
    <t>№№ п/п</t>
  </si>
  <si>
    <t>Итого</t>
  </si>
  <si>
    <t>ФБ</t>
  </si>
  <si>
    <t>ОБ</t>
  </si>
  <si>
    <t>МБ</t>
  </si>
  <si>
    <t>Основное мероприятие 1. "Мероприятия, направленные на сохранение объектов культурного наследия"</t>
  </si>
  <si>
    <t>Создание проектно-сметной документации для ремонта городского воинского мемориала</t>
  </si>
  <si>
    <t>Создание охранных зон для воинских захоронений</t>
  </si>
  <si>
    <t>Основное мероприятие 2. "Библиотечное обслуживание населения муниципального образования, комплектование и обеспечение сохранности библиотечных фондов библиотек поселения"</t>
  </si>
  <si>
    <t>Комплектование книжного фонда</t>
  </si>
  <si>
    <t>Основное мероприятие 3. "Организация музейной деятельности и музейное обслуживание населения. Предоставление доступа к музейным коллекциям (фондам)"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</si>
  <si>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</si>
  <si>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План реализации мероприятий подпрограммы 2 "Искусство"</t>
  </si>
  <si>
    <t>Всего по подпрограмме 2 "Искусство"</t>
  </si>
  <si>
    <t>Основное мероприятие 1. "Повышение доступности, качества услуг в культурно-досуговой сфере, поддержка традиционной народной культуры, организация досуга населения"</t>
  </si>
  <si>
    <t>МБУ ДК "Металлург"</t>
  </si>
  <si>
    <t>1.6.</t>
  </si>
  <si>
    <t>Проведение грантового конкурса среди специалистов учреждений культуры</t>
  </si>
  <si>
    <t>Обучающие семинары по отдельным направлениям деятельности культурно-досуговых учреждений</t>
  </si>
  <si>
    <t>Проведение городских праздничных мероприятий, творческих конкурсов, фестивалей. Обеспечение участия творческих коллективов в региональных и всероссийских конкурсах</t>
  </si>
  <si>
    <t>Проведение праздничных мероприятий</t>
  </si>
  <si>
    <t>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</si>
  <si>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Создание виртуальных концертных залов</t>
  </si>
  <si>
    <t>Основное мероприятие А3. Федеральный проект "Цифровая культура"</t>
  </si>
  <si>
    <r>
      <t>Обеспечение сохранения уровня заработной платы (</t>
    </r>
    <r>
      <rPr>
        <b/>
        <sz val="9"/>
        <color indexed="8"/>
        <rFont val="Times New Roman"/>
        <family val="1"/>
      </rPr>
      <t>выполнение Указов президента</t>
    </r>
    <r>
      <rPr>
        <sz val="9"/>
        <color indexed="8"/>
        <rFont val="Times New Roman"/>
        <family val="1"/>
      </rPr>
      <t>)</t>
    </r>
  </si>
  <si>
    <r>
      <t>Реализация мер социальной поддержки (</t>
    </r>
    <r>
      <rPr>
        <b/>
        <sz val="9"/>
        <color indexed="8"/>
        <rFont val="Times New Roman"/>
        <family val="1"/>
      </rPr>
      <t>25% селькая местность</t>
    </r>
    <r>
      <rPr>
        <sz val="9"/>
        <color indexed="8"/>
        <rFont val="Times New Roman"/>
        <family val="1"/>
      </rPr>
      <t>)</t>
    </r>
  </si>
  <si>
    <r>
      <t>Доведение оплаты труда до минимального размера оплаты труда (</t>
    </r>
    <r>
      <rPr>
        <b/>
        <sz val="9"/>
        <color indexed="8"/>
        <rFont val="Times New Roman"/>
        <family val="1"/>
      </rPr>
      <t>обеспечение МРОТ</t>
    </r>
    <r>
      <rPr>
        <sz val="9"/>
        <color indexed="8"/>
        <rFont val="Times New Roman"/>
        <family val="1"/>
      </rPr>
      <t>)</t>
    </r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</si>
  <si>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поселения,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</si>
  <si>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r>
      <t xml:space="preserve">Организация музейной деятельности и музейное обслуживание населения. Предоставление доступа к музейным коллекциям (фондам),            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</si>
  <si>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</si>
  <si>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Обустройство территории для установки детской площадки</t>
  </si>
  <si>
    <t>Основное мероприятие 2. "Ремонт культурно-досуговых учреждений"</t>
  </si>
  <si>
    <t>2.4.</t>
  </si>
  <si>
    <t>4.1.</t>
  </si>
  <si>
    <t>Установка пластиковых окон</t>
  </si>
  <si>
    <t>4.2.</t>
  </si>
  <si>
    <t>Ремонт помещений</t>
  </si>
  <si>
    <t>Разработка сметной документации на ремонт кровли, фасада, отмостки ГКЦ "Нива"</t>
  </si>
  <si>
    <t>№1</t>
  </si>
  <si>
    <t>ВСЕГО</t>
  </si>
  <si>
    <t>№2</t>
  </si>
  <si>
    <t>Ремонт кровли  здания филиала сельского Дома культуры н.п. Белое море</t>
  </si>
  <si>
    <t>Основное мероприятие 4. "Ремонт учреждений библиотечной системы, музеев"</t>
  </si>
  <si>
    <t>Основное мероприятие 5. "Библиотечное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Алакуртти"</t>
  </si>
  <si>
    <t>5.</t>
  </si>
  <si>
    <t>5.1.</t>
  </si>
  <si>
    <t>5.2.</t>
  </si>
  <si>
    <t>5.3.</t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</si>
  <si>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Алакуртти,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</si>
  <si>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6.</t>
  </si>
  <si>
    <t>Основное мероприятие 6. "Библиотечное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Зареченск"</t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</si>
  <si>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Зареченск,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</si>
  <si>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6.1.</t>
  </si>
  <si>
    <t>6.2.</t>
  </si>
  <si>
    <t>6.3.</t>
  </si>
  <si>
    <t>МБУКДЦ "Космос"</t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</si>
  <si>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Зареченск,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</si>
  <si>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4.</t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</si>
  <si>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Алакуртти,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</si>
  <si>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 xml:space="preserve">Отдел по культуре  </t>
  </si>
  <si>
    <t xml:space="preserve">Отдел по культуре </t>
  </si>
  <si>
    <t>2022 год</t>
  </si>
  <si>
    <t>Основное мероприятие 4. "Повышение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Алакуртти"</t>
  </si>
  <si>
    <t>Основное мероприятие 5. "Повышение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Зареченск"</t>
  </si>
  <si>
    <t>4.3.</t>
  </si>
  <si>
    <t>Ремонт цокольных помещений здания МБУ Дворец культуры "Металлург"</t>
  </si>
  <si>
    <t>Капитальный ремонт системы отопления здания МБУ Дворец культуры "Металлург"</t>
  </si>
  <si>
    <t>Ремонт библиотеки МБУ "Кандалакшская ЦБС" (включая ремонт входной группы с устройством пандуса)</t>
  </si>
  <si>
    <t>Проведение ремонтных работ и укрепление материально-технической базы муниципальных учреждений культуры и образования в сфере культуры и искусства, в т.ч.:</t>
  </si>
  <si>
    <t>Ремонт фасада здания МБУ КДЦ "Космос" с.п. Зареченск</t>
  </si>
  <si>
    <t>Разработка проектной документации на строительство здания дома культуры с.п. Алакуртти</t>
  </si>
  <si>
    <t>4.4.</t>
  </si>
  <si>
    <t>Отдел по культуре</t>
  </si>
  <si>
    <t>Задача 1. "Сохранение, использование, популяризация и охрана объектов культурного наследия (памятников истории и культуры) народов Российской Федерации, расположенных на территории муниципального образования в рамках исполняемых полномочий. "</t>
  </si>
  <si>
    <t>Задача 2. "Повышение доступности и качества библиотечных услуг для населения городского поселения Кандалакша."</t>
  </si>
  <si>
    <t>Задача 3. "Обеспечение сохранности музейных фондов и повышение доступности, качества услуг музеев для населения городского поселения Кандалакша."</t>
  </si>
  <si>
    <t>Задача 4. "Укрепление материально-технической базы, ремонт и реконструкция учреждений библиотечной системы, музеев городского поселения Кандалакша."</t>
  </si>
  <si>
    <t>Задача 5. "Организация библиотечного обслуживания населения,                                                                                                                                                                                                                                                                                  комплектование и обеспечение сохранности библиотечных фондов библиотек сельского поселения Алакуртти"</t>
  </si>
  <si>
    <t>Задача 6. "Организация библиотечного обслуживания населения комплектование и обеспечение сохранности библиотечных фондов библиотек сельского поселения Зареченск."</t>
  </si>
  <si>
    <t>Задача 1. "Повышение доступности и качества услуг в культурно-досуговой сфере и поддержка традиционной народной культуры  городского поселения Кандалакша."</t>
  </si>
  <si>
    <t>Задача 2. "Укрепление материально-технической базы, ремонт и реконструкция культурно-досуговых учреждений городского поселения Кандалакша."</t>
  </si>
  <si>
    <t>Задача 3. "Повышение доступности и качества услуг в культурно-досуговой сфере и поддержка традиционной народной культуры сельского поселения Алакуртти."</t>
  </si>
  <si>
    <t>Задача 4. "Повышение доступности и качества услуг в культурно-досуговой сфере и поддержка традиционной народной культуры сельского поселения Зареченск."</t>
  </si>
  <si>
    <t>МБТ</t>
  </si>
  <si>
    <t>МБТ, в т. ч.</t>
  </si>
  <si>
    <t>\</t>
  </si>
  <si>
    <t>Изготовление дизайн-проекта интерьера городской библиотеки № 3 МБУ "Кандалакшская ЦБС"</t>
  </si>
  <si>
    <t>5.4.</t>
  </si>
  <si>
    <t>Разработка проектно-сметной документации на капитальный ремонт части помещений и фасада МБУ КДЦ "Космос"</t>
  </si>
  <si>
    <t xml:space="preserve"> </t>
  </si>
  <si>
    <t>4.5.</t>
  </si>
  <si>
    <t>4.6.</t>
  </si>
  <si>
    <t>4.7.</t>
  </si>
  <si>
    <t>4.8.</t>
  </si>
  <si>
    <t>Внесение изменений в проектно-сметную (сметную) документацию на ремонт библиотеки МБУ "Кандалакшская ЦБС"</t>
  </si>
  <si>
    <t>Составление акта о техническом состоянии конструкций зданий библиотек МБУ "Кандалакшская ЦБС"</t>
  </si>
  <si>
    <t>Строительный контроль выполнения ремонта библиотеки МБУ "Кандалакшская ЦБС"</t>
  </si>
  <si>
    <t>Оплата обязательств отчетного финансового года, возникших при исполнении муниципального задания</t>
  </si>
  <si>
    <t>1.7.</t>
  </si>
  <si>
    <t>Изготовление дизайн-проекта фасада городской библиотеки № 3 МБУ "Кандалакшская ЦБС"</t>
  </si>
  <si>
    <t>Оборудование помещений средствами автономной пожарной сигнализации</t>
  </si>
  <si>
    <t>2.5.</t>
  </si>
  <si>
    <r>
      <t xml:space="preserve">Ремонт кровли, фасада и отмостки </t>
    </r>
    <r>
      <rPr>
        <sz val="9"/>
        <color indexed="8"/>
        <rFont val="Times New Roman"/>
        <family val="1"/>
      </rPr>
      <t>ГКЦ "Нива" МБУ Дворец культуры "Металлург"</t>
    </r>
  </si>
  <si>
    <t>Разработка дизайн-проекта для ремонта фасада здания филиала ГКЦ "Нива" МБУ Дворец культуры "Металлург"</t>
  </si>
  <si>
    <t>Ремонт фойе первого этажа, гардероба и входной группы , коридоров первого этажа здания МБУ "Дворец культуры "Металлург"</t>
  </si>
  <si>
    <t xml:space="preserve">Приобретение дополнительных световых элементов для установки на фасад здания филиала ГКЦ "Нива" МБУ Дворец культуры "Металлург" </t>
  </si>
  <si>
    <t>Ремонт 5 крылец, облицовка козырька здания филиала ГКЦ "Нива" МБУ Дворец культуры "Металлург", проведение электромонтажных работ для подключения дополнительных световых элементов на фасад здания филиала ГКЦ "Нива" МБУ Дворец культуры "Металлург"</t>
  </si>
  <si>
    <t xml:space="preserve">Приложение к постановлению администрации
муниципального образования Кандалакшский район
 № 781 от 29.06.2020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</si>
</sst>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#,##0.000000"/>
    <numFmt numFmtId="184" formatCode="#,##0.0"/>
    <numFmt numFmtId="185" formatCode="0.000000"/>
    <numFmt numFmtId="186" formatCode="0.0000"/>
    <numFmt numFmtId="187" formatCode="#,##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justify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justify" wrapText="1" shrinkToFit="1"/>
    </xf>
    <xf numFmtId="0" fontId="2" fillId="34" borderId="12" xfId="0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left" vertical="justify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6" fontId="2" fillId="34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 shrinkToFit="1"/>
    </xf>
    <xf numFmtId="181" fontId="3" fillId="35" borderId="10" xfId="0" applyNumberFormat="1" applyFont="1" applyFill="1" applyBorder="1" applyAlignment="1">
      <alignment horizontal="center" vertical="center" wrapText="1" shrinkToFit="1"/>
    </xf>
    <xf numFmtId="0" fontId="3" fillId="36" borderId="11" xfId="0" applyFont="1" applyFill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>
      <alignment horizontal="center" vertical="center" wrapText="1" shrinkToFit="1"/>
    </xf>
    <xf numFmtId="1" fontId="2" fillId="35" borderId="10" xfId="0" applyNumberFormat="1" applyFont="1" applyFill="1" applyBorder="1" applyAlignment="1">
      <alignment horizontal="center" vertical="center" wrapText="1" shrinkToFit="1"/>
    </xf>
    <xf numFmtId="1" fontId="3" fillId="36" borderId="10" xfId="0" applyNumberFormat="1" applyFont="1" applyFill="1" applyBorder="1" applyAlignment="1">
      <alignment horizontal="center" vertical="center" wrapText="1" shrinkToFit="1"/>
    </xf>
    <xf numFmtId="0" fontId="48" fillId="0" borderId="0" xfId="0" applyFont="1" applyAlignment="1">
      <alignment/>
    </xf>
    <xf numFmtId="186" fontId="48" fillId="0" borderId="0" xfId="0" applyNumberFormat="1" applyFont="1" applyAlignment="1">
      <alignment/>
    </xf>
    <xf numFmtId="1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186" fontId="49" fillId="0" borderId="0" xfId="0" applyNumberFormat="1" applyFont="1" applyFill="1" applyAlignment="1">
      <alignment/>
    </xf>
    <xf numFmtId="1" fontId="2" fillId="35" borderId="10" xfId="0" applyNumberFormat="1" applyFont="1" applyFill="1" applyBorder="1" applyAlignment="1">
      <alignment horizontal="center" vertical="center" wrapText="1" shrinkToFit="1"/>
    </xf>
    <xf numFmtId="1" fontId="2" fillId="36" borderId="10" xfId="0" applyNumberFormat="1" applyFont="1" applyFill="1" applyBorder="1" applyAlignment="1">
      <alignment horizontal="center" vertical="center" wrapText="1" shrinkToFit="1"/>
    </xf>
    <xf numFmtId="187" fontId="49" fillId="0" borderId="10" xfId="0" applyNumberFormat="1" applyFont="1" applyBorder="1" applyAlignment="1">
      <alignment/>
    </xf>
    <xf numFmtId="187" fontId="49" fillId="3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7" borderId="0" xfId="0" applyFont="1" applyFill="1" applyAlignment="1">
      <alignment/>
    </xf>
    <xf numFmtId="0" fontId="48" fillId="38" borderId="0" xfId="0" applyFont="1" applyFill="1" applyAlignment="1">
      <alignment/>
    </xf>
    <xf numFmtId="0" fontId="50" fillId="39" borderId="0" xfId="0" applyFont="1" applyFill="1" applyAlignment="1">
      <alignment horizontal="center"/>
    </xf>
    <xf numFmtId="0" fontId="48" fillId="0" borderId="10" xfId="0" applyFont="1" applyBorder="1" applyAlignment="1">
      <alignment/>
    </xf>
    <xf numFmtId="3" fontId="51" fillId="37" borderId="10" xfId="52" applyNumberFormat="1" applyFont="1" applyFill="1" applyBorder="1" applyAlignment="1">
      <alignment horizontal="center"/>
      <protection/>
    </xf>
    <xf numFmtId="3" fontId="51" fillId="38" borderId="10" xfId="52" applyNumberFormat="1" applyFont="1" applyFill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184" fontId="50" fillId="39" borderId="10" xfId="52" applyNumberFormat="1" applyFont="1" applyFill="1" applyBorder="1" applyAlignment="1">
      <alignment horizontal="center"/>
      <protection/>
    </xf>
    <xf numFmtId="184" fontId="50" fillId="39" borderId="0" xfId="52" applyNumberFormat="1" applyFont="1" applyFill="1" applyBorder="1" applyAlignment="1">
      <alignment horizontal="center"/>
      <protection/>
    </xf>
    <xf numFmtId="180" fontId="48" fillId="0" borderId="0" xfId="0" applyNumberFormat="1" applyFont="1" applyFill="1" applyAlignment="1">
      <alignment/>
    </xf>
    <xf numFmtId="185" fontId="49" fillId="0" borderId="0" xfId="0" applyNumberFormat="1" applyFont="1" applyFill="1" applyAlignment="1">
      <alignment/>
    </xf>
    <xf numFmtId="186" fontId="52" fillId="0" borderId="0" xfId="0" applyNumberFormat="1" applyFont="1" applyFill="1" applyAlignment="1">
      <alignment/>
    </xf>
    <xf numFmtId="1" fontId="51" fillId="37" borderId="10" xfId="52" applyNumberFormat="1" applyFont="1" applyFill="1" applyBorder="1" applyAlignment="1">
      <alignment horizontal="center"/>
      <protection/>
    </xf>
    <xf numFmtId="1" fontId="51" fillId="38" borderId="10" xfId="52" applyNumberFormat="1" applyFont="1" applyFill="1" applyBorder="1" applyAlignment="1">
      <alignment horizontal="center"/>
      <protection/>
    </xf>
    <xf numFmtId="184" fontId="48" fillId="0" borderId="0" xfId="0" applyNumberFormat="1" applyFont="1" applyFill="1" applyAlignment="1">
      <alignment/>
    </xf>
    <xf numFmtId="182" fontId="4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4" fontId="49" fillId="0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87" fontId="48" fillId="0" borderId="0" xfId="0" applyNumberFormat="1" applyFont="1" applyFill="1" applyAlignment="1">
      <alignment/>
    </xf>
    <xf numFmtId="185" fontId="48" fillId="0" borderId="10" xfId="0" applyNumberFormat="1" applyFont="1" applyBorder="1" applyAlignment="1">
      <alignment/>
    </xf>
    <xf numFmtId="185" fontId="48" fillId="37" borderId="0" xfId="0" applyNumberFormat="1" applyFont="1" applyFill="1" applyAlignment="1">
      <alignment/>
    </xf>
    <xf numFmtId="185" fontId="48" fillId="38" borderId="0" xfId="0" applyNumberFormat="1" applyFont="1" applyFill="1" applyAlignment="1">
      <alignment/>
    </xf>
    <xf numFmtId="185" fontId="48" fillId="0" borderId="0" xfId="0" applyNumberFormat="1" applyFont="1" applyAlignment="1">
      <alignment/>
    </xf>
    <xf numFmtId="1" fontId="48" fillId="0" borderId="10" xfId="0" applyNumberFormat="1" applyFont="1" applyBorder="1" applyAlignment="1">
      <alignment/>
    </xf>
    <xf numFmtId="187" fontId="48" fillId="37" borderId="10" xfId="0" applyNumberFormat="1" applyFont="1" applyFill="1" applyBorder="1" applyAlignment="1">
      <alignment/>
    </xf>
    <xf numFmtId="187" fontId="48" fillId="0" borderId="10" xfId="0" applyNumberFormat="1" applyFont="1" applyBorder="1" applyAlignment="1">
      <alignment/>
    </xf>
    <xf numFmtId="187" fontId="48" fillId="38" borderId="10" xfId="0" applyNumberFormat="1" applyFont="1" applyFill="1" applyBorder="1" applyAlignment="1">
      <alignment/>
    </xf>
    <xf numFmtId="182" fontId="5" fillId="38" borderId="10" xfId="0" applyNumberFormat="1" applyFont="1" applyFill="1" applyBorder="1" applyAlignment="1">
      <alignment horizontal="center" vertical="center" wrapText="1" shrinkToFit="1"/>
    </xf>
    <xf numFmtId="0" fontId="2" fillId="38" borderId="0" xfId="0" applyFont="1" applyFill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81" fontId="6" fillId="35" borderId="10" xfId="0" applyNumberFormat="1" applyFont="1" applyFill="1" applyBorder="1" applyAlignment="1">
      <alignment horizontal="center" vertical="center" wrapText="1" shrinkToFit="1"/>
    </xf>
    <xf numFmtId="187" fontId="6" fillId="35" borderId="10" xfId="0" applyNumberFormat="1" applyFont="1" applyFill="1" applyBorder="1" applyAlignment="1">
      <alignment horizontal="center" vertical="center" wrapText="1" shrinkToFit="1"/>
    </xf>
    <xf numFmtId="181" fontId="2" fillId="35" borderId="10" xfId="0" applyNumberFormat="1" applyFont="1" applyFill="1" applyBorder="1" applyAlignment="1">
      <alignment horizontal="center" vertical="center" wrapText="1" shrinkToFit="1"/>
    </xf>
    <xf numFmtId="181" fontId="2" fillId="36" borderId="10" xfId="0" applyNumberFormat="1" applyFont="1" applyFill="1" applyBorder="1" applyAlignment="1">
      <alignment horizontal="center" vertical="center" wrapText="1" shrinkToFit="1"/>
    </xf>
    <xf numFmtId="187" fontId="6" fillId="36" borderId="10" xfId="0" applyNumberFormat="1" applyFont="1" applyFill="1" applyBorder="1" applyAlignment="1">
      <alignment horizontal="center" vertical="center" wrapText="1" shrinkToFit="1"/>
    </xf>
    <xf numFmtId="181" fontId="2" fillId="34" borderId="11" xfId="0" applyNumberFormat="1" applyFont="1" applyFill="1" applyBorder="1" applyAlignment="1">
      <alignment horizontal="center" vertical="center" wrapText="1" shrinkToFit="1"/>
    </xf>
    <xf numFmtId="187" fontId="6" fillId="34" borderId="10" xfId="0" applyNumberFormat="1" applyFont="1" applyFill="1" applyBorder="1" applyAlignment="1">
      <alignment horizontal="center" vertical="center" wrapText="1" shrinkToFit="1"/>
    </xf>
    <xf numFmtId="187" fontId="5" fillId="34" borderId="10" xfId="0" applyNumberFormat="1" applyFont="1" applyFill="1" applyBorder="1" applyAlignment="1">
      <alignment horizontal="center" vertical="center" wrapText="1" shrinkToFit="1"/>
    </xf>
    <xf numFmtId="187" fontId="5" fillId="34" borderId="11" xfId="0" applyNumberFormat="1" applyFont="1" applyFill="1" applyBorder="1" applyAlignment="1">
      <alignment horizontal="center" vertical="center" wrapText="1" shrinkToFit="1"/>
    </xf>
    <xf numFmtId="187" fontId="6" fillId="0" borderId="10" xfId="0" applyNumberFormat="1" applyFont="1" applyFill="1" applyBorder="1" applyAlignment="1">
      <alignment horizontal="center" vertical="center" wrapText="1" shrinkToFit="1"/>
    </xf>
    <xf numFmtId="187" fontId="5" fillId="0" borderId="10" xfId="0" applyNumberFormat="1" applyFont="1" applyFill="1" applyBorder="1" applyAlignment="1">
      <alignment horizontal="center" vertical="center" wrapText="1" shrinkToFit="1"/>
    </xf>
    <xf numFmtId="181" fontId="2" fillId="34" borderId="10" xfId="0" applyNumberFormat="1" applyFont="1" applyFill="1" applyBorder="1" applyAlignment="1">
      <alignment horizontal="center" vertical="center" wrapText="1" shrinkToFit="1"/>
    </xf>
    <xf numFmtId="181" fontId="3" fillId="36" borderId="11" xfId="0" applyNumberFormat="1" applyFont="1" applyFill="1" applyBorder="1" applyAlignment="1">
      <alignment horizontal="center" vertical="center" wrapText="1" shrinkToFit="1"/>
    </xf>
    <xf numFmtId="187" fontId="6" fillId="36" borderId="11" xfId="0" applyNumberFormat="1" applyFont="1" applyFill="1" applyBorder="1" applyAlignment="1">
      <alignment horizontal="center" vertical="center" wrapText="1" shrinkToFit="1"/>
    </xf>
    <xf numFmtId="187" fontId="5" fillId="38" borderId="10" xfId="0" applyNumberFormat="1" applyFont="1" applyFill="1" applyBorder="1" applyAlignment="1">
      <alignment horizontal="center" vertical="center" wrapText="1" shrinkToFit="1"/>
    </xf>
    <xf numFmtId="181" fontId="2" fillId="36" borderId="13" xfId="0" applyNumberFormat="1" applyFont="1" applyFill="1" applyBorder="1" applyAlignment="1">
      <alignment horizontal="center" vertical="center" wrapText="1" shrinkToFit="1"/>
    </xf>
    <xf numFmtId="187" fontId="6" fillId="36" borderId="13" xfId="0" applyNumberFormat="1" applyFont="1" applyFill="1" applyBorder="1" applyAlignment="1">
      <alignment horizontal="center" vertical="center" wrapText="1" shrinkToFit="1"/>
    </xf>
    <xf numFmtId="181" fontId="2" fillId="34" borderId="13" xfId="0" applyNumberFormat="1" applyFont="1" applyFill="1" applyBorder="1" applyAlignment="1">
      <alignment horizontal="center" vertical="center" wrapText="1" shrinkToFit="1"/>
    </xf>
    <xf numFmtId="181" fontId="2" fillId="35" borderId="13" xfId="0" applyNumberFormat="1" applyFont="1" applyFill="1" applyBorder="1" applyAlignment="1">
      <alignment horizontal="center" vertical="center" wrapText="1" shrinkToFit="1"/>
    </xf>
    <xf numFmtId="182" fontId="5" fillId="38" borderId="14" xfId="0" applyNumberFormat="1" applyFont="1" applyFill="1" applyBorder="1" applyAlignment="1">
      <alignment horizontal="center" vertical="center" wrapText="1" shrinkToFit="1"/>
    </xf>
    <xf numFmtId="181" fontId="2" fillId="34" borderId="10" xfId="0" applyNumberFormat="1" applyFont="1" applyFill="1" applyBorder="1" applyAlignment="1">
      <alignment horizontal="center" vertical="center" wrapText="1" shrinkToFit="1"/>
    </xf>
    <xf numFmtId="181" fontId="2" fillId="36" borderId="11" xfId="0" applyNumberFormat="1" applyFont="1" applyFill="1" applyBorder="1" applyAlignment="1">
      <alignment horizontal="center" vertical="center" wrapText="1" shrinkToFit="1"/>
    </xf>
    <xf numFmtId="181" fontId="6" fillId="35" borderId="10" xfId="0" applyNumberFormat="1" applyFont="1" applyFill="1" applyBorder="1" applyAlignment="1">
      <alignment horizontal="left" vertical="top" wrapText="1" shrinkToFit="1"/>
    </xf>
    <xf numFmtId="181" fontId="8" fillId="35" borderId="10" xfId="0" applyNumberFormat="1" applyFont="1" applyFill="1" applyBorder="1" applyAlignment="1">
      <alignment horizontal="left" vertical="top" wrapText="1" shrinkToFit="1"/>
    </xf>
    <xf numFmtId="181" fontId="8" fillId="36" borderId="10" xfId="0" applyNumberFormat="1" applyFont="1" applyFill="1" applyBorder="1" applyAlignment="1">
      <alignment horizontal="left" vertical="top" wrapText="1" shrinkToFit="1"/>
    </xf>
    <xf numFmtId="181" fontId="9" fillId="34" borderId="11" xfId="0" applyNumberFormat="1" applyFont="1" applyFill="1" applyBorder="1" applyAlignment="1">
      <alignment horizontal="left" vertical="top" wrapText="1" shrinkToFit="1"/>
    </xf>
    <xf numFmtId="181" fontId="9" fillId="34" borderId="10" xfId="0" applyNumberFormat="1" applyFont="1" applyFill="1" applyBorder="1" applyAlignment="1">
      <alignment horizontal="left" vertical="top" wrapText="1" shrinkToFit="1"/>
    </xf>
    <xf numFmtId="181" fontId="8" fillId="36" borderId="0" xfId="0" applyNumberFormat="1" applyFont="1" applyFill="1" applyAlignment="1">
      <alignment horizontal="left" vertical="top" wrapText="1"/>
    </xf>
    <xf numFmtId="181" fontId="8" fillId="34" borderId="0" xfId="0" applyNumberFormat="1" applyFont="1" applyFill="1" applyAlignment="1">
      <alignment horizontal="left" vertical="top" wrapText="1"/>
    </xf>
    <xf numFmtId="181" fontId="8" fillId="34" borderId="10" xfId="0" applyNumberFormat="1" applyFont="1" applyFill="1" applyBorder="1" applyAlignment="1">
      <alignment horizontal="left" vertical="top" wrapText="1"/>
    </xf>
    <xf numFmtId="181" fontId="8" fillId="34" borderId="10" xfId="0" applyNumberFormat="1" applyFont="1" applyFill="1" applyBorder="1" applyAlignment="1">
      <alignment horizontal="left" vertical="top" wrapText="1" shrinkToFit="1"/>
    </xf>
    <xf numFmtId="0" fontId="53" fillId="0" borderId="10" xfId="0" applyFont="1" applyBorder="1" applyAlignment="1">
      <alignment horizontal="left" vertical="top" wrapText="1"/>
    </xf>
    <xf numFmtId="0" fontId="53" fillId="0" borderId="15" xfId="52" applyFont="1" applyBorder="1" applyAlignment="1">
      <alignment horizontal="left" vertical="top" wrapText="1"/>
      <protection/>
    </xf>
    <xf numFmtId="181" fontId="8" fillId="36" borderId="13" xfId="0" applyNumberFormat="1" applyFont="1" applyFill="1" applyBorder="1" applyAlignment="1">
      <alignment horizontal="left" vertical="top" wrapText="1" shrinkToFit="1"/>
    </xf>
    <xf numFmtId="181" fontId="9" fillId="34" borderId="13" xfId="0" applyNumberFormat="1" applyFont="1" applyFill="1" applyBorder="1" applyAlignment="1">
      <alignment horizontal="left" vertical="top" wrapText="1" shrinkToFit="1"/>
    </xf>
    <xf numFmtId="181" fontId="8" fillId="36" borderId="10" xfId="0" applyNumberFormat="1" applyFont="1" applyFill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52" applyFont="1" applyBorder="1" applyAlignment="1">
      <alignment horizontal="left" vertical="top" wrapText="1"/>
      <protection/>
    </xf>
    <xf numFmtId="181" fontId="9" fillId="38" borderId="10" xfId="0" applyNumberFormat="1" applyFont="1" applyFill="1" applyBorder="1" applyAlignment="1">
      <alignment horizontal="left" vertical="top" wrapText="1" shrinkToFit="1"/>
    </xf>
    <xf numFmtId="181" fontId="9" fillId="0" borderId="10" xfId="0" applyNumberFormat="1" applyFont="1" applyFill="1" applyBorder="1" applyAlignment="1">
      <alignment horizontal="left" vertical="top" wrapText="1" shrinkToFit="1"/>
    </xf>
    <xf numFmtId="182" fontId="9" fillId="34" borderId="10" xfId="59" applyNumberFormat="1" applyFont="1" applyFill="1" applyBorder="1" applyAlignment="1">
      <alignment horizontal="left" vertical="top" wrapText="1" shrinkToFit="1"/>
    </xf>
    <xf numFmtId="182" fontId="9" fillId="34" borderId="16" xfId="59" applyNumberFormat="1" applyFont="1" applyFill="1" applyBorder="1" applyAlignment="1">
      <alignment horizontal="left" vertical="top" wrapText="1" shrinkToFit="1"/>
    </xf>
    <xf numFmtId="181" fontId="8" fillId="34" borderId="0" xfId="0" applyNumberFormat="1" applyFont="1" applyFill="1" applyAlignment="1">
      <alignment horizontal="left" vertical="top"/>
    </xf>
    <xf numFmtId="181" fontId="8" fillId="34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4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187" fontId="6" fillId="38" borderId="10" xfId="0" applyNumberFormat="1" applyFont="1" applyFill="1" applyBorder="1" applyAlignment="1">
      <alignment horizontal="center" vertical="center" wrapText="1" shrinkToFit="1"/>
    </xf>
    <xf numFmtId="187" fontId="11" fillId="38" borderId="10" xfId="0" applyNumberFormat="1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horizontal="center" vertical="center" wrapText="1" shrinkToFit="1"/>
    </xf>
    <xf numFmtId="187" fontId="6" fillId="34" borderId="16" xfId="0" applyNumberFormat="1" applyFont="1" applyFill="1" applyBorder="1" applyAlignment="1">
      <alignment horizontal="center" vertical="center" wrapText="1" shrinkToFit="1"/>
    </xf>
    <xf numFmtId="187" fontId="5" fillId="34" borderId="16" xfId="0" applyNumberFormat="1" applyFont="1" applyFill="1" applyBorder="1" applyAlignment="1">
      <alignment horizontal="center" vertical="center" wrapText="1" shrinkToFit="1"/>
    </xf>
    <xf numFmtId="187" fontId="6" fillId="0" borderId="16" xfId="0" applyNumberFormat="1" applyFont="1" applyFill="1" applyBorder="1" applyAlignment="1">
      <alignment horizontal="center" vertical="center" wrapText="1" shrinkToFit="1"/>
    </xf>
    <xf numFmtId="187" fontId="5" fillId="0" borderId="16" xfId="0" applyNumberFormat="1" applyFont="1" applyFill="1" applyBorder="1" applyAlignment="1">
      <alignment horizontal="center" vertical="center" wrapText="1" shrinkToFit="1"/>
    </xf>
    <xf numFmtId="187" fontId="9" fillId="0" borderId="16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82" fontId="9" fillId="0" borderId="10" xfId="59" applyNumberFormat="1" applyFont="1" applyFill="1" applyBorder="1" applyAlignment="1">
      <alignment horizontal="left" vertical="top" wrapText="1" shrinkToFit="1"/>
    </xf>
    <xf numFmtId="181" fontId="2" fillId="0" borderId="10" xfId="0" applyNumberFormat="1" applyFont="1" applyFill="1" applyBorder="1" applyAlignment="1">
      <alignment horizontal="center" vertical="center" wrapText="1" shrinkToFit="1"/>
    </xf>
    <xf numFmtId="187" fontId="2" fillId="0" borderId="0" xfId="0" applyNumberFormat="1" applyFont="1" applyFill="1" applyAlignment="1">
      <alignment horizontal="center" vertical="center" wrapText="1" shrinkToFit="1"/>
    </xf>
    <xf numFmtId="1" fontId="2" fillId="7" borderId="10" xfId="0" applyNumberFormat="1" applyFont="1" applyFill="1" applyBorder="1" applyAlignment="1">
      <alignment horizontal="center" vertical="center" wrapText="1" shrinkToFit="1"/>
    </xf>
    <xf numFmtId="0" fontId="2" fillId="7" borderId="0" xfId="0" applyFont="1" applyFill="1" applyAlignment="1">
      <alignment horizontal="center" vertical="center" wrapText="1" shrinkToFit="1"/>
    </xf>
    <xf numFmtId="181" fontId="9" fillId="7" borderId="10" xfId="0" applyNumberFormat="1" applyFont="1" applyFill="1" applyBorder="1" applyAlignment="1">
      <alignment horizontal="left" vertical="top" wrapText="1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81" fontId="2" fillId="0" borderId="11" xfId="0" applyNumberFormat="1" applyFont="1" applyFill="1" applyBorder="1" applyAlignment="1">
      <alignment horizontal="center" vertical="center" wrapText="1" shrinkToFit="1"/>
    </xf>
    <xf numFmtId="187" fontId="5" fillId="0" borderId="11" xfId="0" applyNumberFormat="1" applyFont="1" applyFill="1" applyBorder="1" applyAlignment="1">
      <alignment horizontal="center" vertical="center" wrapText="1" shrinkToFit="1"/>
    </xf>
    <xf numFmtId="181" fontId="9" fillId="40" borderId="1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3" fillId="34" borderId="17" xfId="0" applyFont="1" applyFill="1" applyBorder="1" applyAlignment="1">
      <alignment horizontal="center" vertical="center" wrapText="1" shrinkToFit="1"/>
    </xf>
    <xf numFmtId="0" fontId="3" fillId="34" borderId="18" xfId="0" applyFont="1" applyFill="1" applyBorder="1" applyAlignment="1">
      <alignment horizontal="center" vertical="center" wrapText="1" shrinkToFit="1"/>
    </xf>
    <xf numFmtId="0" fontId="3" fillId="34" borderId="14" xfId="0" applyFont="1" applyFill="1" applyBorder="1" applyAlignment="1">
      <alignment horizontal="center" vertical="center" wrapText="1" shrinkToFit="1"/>
    </xf>
    <xf numFmtId="0" fontId="7" fillId="34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9" fillId="34" borderId="18" xfId="0" applyFont="1" applyFill="1" applyBorder="1" applyAlignment="1">
      <alignment horizontal="center" vertical="center" wrapText="1" shrinkToFit="1"/>
    </xf>
    <xf numFmtId="0" fontId="39" fillId="34" borderId="14" xfId="0" applyFont="1" applyFill="1" applyBorder="1" applyAlignment="1">
      <alignment horizontal="center" vertical="center" wrapText="1" shrinkToFit="1"/>
    </xf>
    <xf numFmtId="49" fontId="2" fillId="34" borderId="19" xfId="0" applyNumberFormat="1" applyFont="1" applyFill="1" applyBorder="1" applyAlignment="1">
      <alignment horizontal="center" vertical="center" wrapText="1" shrinkToFit="1"/>
    </xf>
    <xf numFmtId="49" fontId="2" fillId="34" borderId="19" xfId="0" applyNumberFormat="1" applyFont="1" applyFill="1" applyBorder="1" applyAlignment="1">
      <alignment horizontal="center" vertical="center" wrapText="1" shrinkToFit="1"/>
    </xf>
    <xf numFmtId="49" fontId="2" fillId="34" borderId="11" xfId="0" applyNumberFormat="1" applyFont="1" applyFill="1" applyBorder="1" applyAlignment="1">
      <alignment horizontal="center" vertical="center" wrapText="1" shrinkToFit="1"/>
    </xf>
    <xf numFmtId="0" fontId="2" fillId="34" borderId="20" xfId="0" applyFont="1" applyFill="1" applyBorder="1" applyAlignment="1">
      <alignment horizontal="center" vertical="center" wrapText="1" shrinkToFit="1"/>
    </xf>
    <xf numFmtId="0" fontId="2" fillId="34" borderId="21" xfId="0" applyFont="1" applyFill="1" applyBorder="1" applyAlignment="1">
      <alignment horizontal="center" vertical="center" wrapText="1" shrinkToFit="1"/>
    </xf>
    <xf numFmtId="0" fontId="2" fillId="34" borderId="15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wrapText="1" shrinkToFit="1"/>
    </xf>
    <xf numFmtId="0" fontId="2" fillId="34" borderId="12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105"/>
  <sheetViews>
    <sheetView view="pageBreakPreview" zoomScaleSheetLayoutView="100" workbookViewId="0" topLeftCell="A1">
      <pane ySplit="2115" topLeftCell="A25" activePane="bottomLeft" state="split"/>
      <selection pane="topLeft" activeCell="V6" sqref="V6:AC6"/>
      <selection pane="bottomLeft" activeCell="P11" sqref="P11"/>
    </sheetView>
  </sheetViews>
  <sheetFormatPr defaultColWidth="5.7109375" defaultRowHeight="15" outlineLevelCol="2"/>
  <cols>
    <col min="1" max="1" width="5.7109375" style="1" customWidth="1"/>
    <col min="2" max="2" width="34.00390625" style="2" customWidth="1"/>
    <col min="3" max="3" width="12.140625" style="1" customWidth="1"/>
    <col min="4" max="4" width="12.00390625" style="1" customWidth="1"/>
    <col min="5" max="5" width="9.00390625" style="1" customWidth="1"/>
    <col min="6" max="8" width="12.00390625" style="1" customWidth="1"/>
    <col min="9" max="10" width="12.00390625" style="3" customWidth="1"/>
    <col min="11" max="11" width="10.00390625" style="3" customWidth="1"/>
    <col min="12" max="13" width="12.00390625" style="3" customWidth="1"/>
    <col min="14" max="18" width="12.00390625" style="1" customWidth="1"/>
    <col min="19" max="19" width="9.421875" style="1" customWidth="1"/>
    <col min="20" max="22" width="12.00390625" style="1" customWidth="1"/>
    <col min="23" max="23" width="8.28125" style="1" customWidth="1"/>
    <col min="24" max="25" width="12.00390625" style="1" customWidth="1"/>
    <col min="26" max="26" width="11.28125" style="1" customWidth="1" outlineLevel="2"/>
    <col min="27" max="27" width="9.00390625" style="1" customWidth="1" outlineLevel="2"/>
    <col min="28" max="28" width="12.00390625" style="1" customWidth="1" outlineLevel="2"/>
    <col min="29" max="29" width="11.28125" style="1" customWidth="1" outlineLevel="2"/>
    <col min="30" max="16384" width="5.7109375" style="1" customWidth="1"/>
  </cols>
  <sheetData>
    <row r="1" spans="1:29" ht="20.25" customHeight="1">
      <c r="A1" s="152" t="s">
        <v>33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48"/>
      <c r="AA1" s="148"/>
      <c r="AB1" s="148"/>
      <c r="AC1" s="148"/>
    </row>
    <row r="2" spans="1:29" ht="11.25">
      <c r="A2" s="13"/>
      <c r="B2" s="15"/>
      <c r="C2" s="13"/>
      <c r="D2" s="9"/>
      <c r="E2" s="9"/>
      <c r="F2" s="9"/>
      <c r="G2" s="9"/>
      <c r="H2" s="9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2" t="s">
        <v>36</v>
      </c>
      <c r="Z2" s="148"/>
      <c r="AA2" s="148"/>
      <c r="AB2" s="148"/>
      <c r="AC2" s="148"/>
    </row>
    <row r="3" spans="1:27" ht="21" customHeight="1">
      <c r="A3" s="16"/>
      <c r="B3" s="17"/>
      <c r="C3" s="16"/>
      <c r="D3" s="9"/>
      <c r="E3" s="9"/>
      <c r="F3" s="9"/>
      <c r="G3" s="9"/>
      <c r="H3" s="9"/>
      <c r="I3" s="5"/>
      <c r="J3" s="5"/>
      <c r="K3" s="5"/>
      <c r="L3" s="5"/>
      <c r="M3" s="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"/>
      <c r="AA3" s="5"/>
    </row>
    <row r="4" spans="1:64" ht="21" customHeight="1">
      <c r="A4" s="154" t="s">
        <v>37</v>
      </c>
      <c r="B4" s="162" t="s">
        <v>35</v>
      </c>
      <c r="C4" s="154" t="s">
        <v>1</v>
      </c>
      <c r="D4" s="165" t="s">
        <v>26</v>
      </c>
      <c r="E4" s="166"/>
      <c r="F4" s="166"/>
      <c r="G4" s="166"/>
      <c r="H4" s="167"/>
      <c r="I4" s="121"/>
      <c r="J4" s="122"/>
      <c r="K4" s="122"/>
      <c r="L4" s="122"/>
      <c r="M4" s="12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2"/>
      <c r="AA4" s="122"/>
      <c r="AB4" s="126"/>
      <c r="AC4" s="127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6.5" customHeight="1" hidden="1" thickBot="1">
      <c r="A5" s="155"/>
      <c r="B5" s="163"/>
      <c r="C5" s="155"/>
      <c r="D5" s="168"/>
      <c r="E5" s="169"/>
      <c r="F5" s="169"/>
      <c r="G5" s="169"/>
      <c r="H5" s="170"/>
      <c r="I5" s="123"/>
      <c r="J5" s="123"/>
      <c r="K5" s="123"/>
      <c r="L5" s="123"/>
      <c r="M5" s="123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21" customHeight="1">
      <c r="A6" s="155"/>
      <c r="B6" s="163"/>
      <c r="C6" s="155"/>
      <c r="D6" s="149" t="s">
        <v>0</v>
      </c>
      <c r="E6" s="150"/>
      <c r="F6" s="150"/>
      <c r="G6" s="150"/>
      <c r="H6" s="151"/>
      <c r="I6" s="157" t="s">
        <v>30</v>
      </c>
      <c r="J6" s="158"/>
      <c r="K6" s="158"/>
      <c r="L6" s="158"/>
      <c r="M6" s="159"/>
      <c r="N6" s="149" t="s">
        <v>31</v>
      </c>
      <c r="O6" s="150"/>
      <c r="P6" s="150"/>
      <c r="Q6" s="150"/>
      <c r="R6" s="150"/>
      <c r="S6" s="160"/>
      <c r="T6" s="160"/>
      <c r="U6" s="161"/>
      <c r="V6" s="149" t="s">
        <v>32</v>
      </c>
      <c r="W6" s="160"/>
      <c r="X6" s="160"/>
      <c r="Y6" s="161"/>
      <c r="Z6" s="149" t="s">
        <v>98</v>
      </c>
      <c r="AA6" s="150"/>
      <c r="AB6" s="150"/>
      <c r="AC6" s="15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 customHeight="1">
      <c r="A7" s="156"/>
      <c r="B7" s="164"/>
      <c r="C7" s="156"/>
      <c r="D7" s="19" t="s">
        <v>38</v>
      </c>
      <c r="E7" s="14" t="s">
        <v>39</v>
      </c>
      <c r="F7" s="14" t="s">
        <v>40</v>
      </c>
      <c r="G7" s="19" t="s">
        <v>41</v>
      </c>
      <c r="H7" s="19" t="s">
        <v>120</v>
      </c>
      <c r="I7" s="20" t="s">
        <v>38</v>
      </c>
      <c r="J7" s="20" t="s">
        <v>121</v>
      </c>
      <c r="K7" s="20" t="s">
        <v>39</v>
      </c>
      <c r="L7" s="20" t="s">
        <v>40</v>
      </c>
      <c r="M7" s="20" t="s">
        <v>41</v>
      </c>
      <c r="N7" s="19" t="s">
        <v>38</v>
      </c>
      <c r="O7" s="19" t="s">
        <v>39</v>
      </c>
      <c r="P7" s="19" t="s">
        <v>40</v>
      </c>
      <c r="Q7" s="19" t="s">
        <v>41</v>
      </c>
      <c r="R7" s="20" t="s">
        <v>121</v>
      </c>
      <c r="S7" s="19" t="s">
        <v>39</v>
      </c>
      <c r="T7" s="19" t="s">
        <v>40</v>
      </c>
      <c r="U7" s="19" t="s">
        <v>41</v>
      </c>
      <c r="V7" s="19" t="s">
        <v>38</v>
      </c>
      <c r="W7" s="19" t="s">
        <v>39</v>
      </c>
      <c r="X7" s="19" t="s">
        <v>40</v>
      </c>
      <c r="Y7" s="19" t="s">
        <v>41</v>
      </c>
      <c r="Z7" s="19" t="s">
        <v>38</v>
      </c>
      <c r="AA7" s="19" t="s">
        <v>39</v>
      </c>
      <c r="AB7" s="19" t="s">
        <v>40</v>
      </c>
      <c r="AC7" s="19" t="s">
        <v>41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21" customHeight="1">
      <c r="A8" s="24"/>
      <c r="B8" s="97" t="s">
        <v>34</v>
      </c>
      <c r="C8" s="75"/>
      <c r="D8" s="76">
        <f aca="true" t="shared" si="0" ref="D8:I8">D9+D13+D32+D39+D50+D58</f>
        <v>70382.92184</v>
      </c>
      <c r="E8" s="76">
        <f t="shared" si="0"/>
        <v>0</v>
      </c>
      <c r="F8" s="76">
        <f t="shared" si="0"/>
        <v>2834.3999999999996</v>
      </c>
      <c r="G8" s="76">
        <f t="shared" si="0"/>
        <v>6677.2</v>
      </c>
      <c r="H8" s="76">
        <f t="shared" si="0"/>
        <v>60871.32184</v>
      </c>
      <c r="I8" s="76">
        <f t="shared" si="0"/>
        <v>16231.5841</v>
      </c>
      <c r="J8" s="76">
        <f>I8</f>
        <v>16231.5841</v>
      </c>
      <c r="K8" s="76">
        <f aca="true" t="shared" si="1" ref="K8:AC8">K9+K13+K32+K39+K50+K58</f>
        <v>0</v>
      </c>
      <c r="L8" s="76">
        <f t="shared" si="1"/>
        <v>5150.9493999999995</v>
      </c>
      <c r="M8" s="76">
        <f t="shared" si="1"/>
        <v>11080.634699999999</v>
      </c>
      <c r="N8" s="76">
        <f t="shared" si="1"/>
        <v>47704.53774</v>
      </c>
      <c r="O8" s="76">
        <f t="shared" si="1"/>
        <v>0</v>
      </c>
      <c r="P8" s="76">
        <f t="shared" si="1"/>
        <v>944.8</v>
      </c>
      <c r="Q8" s="76">
        <f t="shared" si="1"/>
        <v>2120</v>
      </c>
      <c r="R8" s="76">
        <f t="shared" si="1"/>
        <v>44639.73774</v>
      </c>
      <c r="S8" s="76">
        <f t="shared" si="1"/>
        <v>0</v>
      </c>
      <c r="T8" s="76">
        <f t="shared" si="1"/>
        <v>22539.11</v>
      </c>
      <c r="U8" s="76">
        <f t="shared" si="1"/>
        <v>22100.62774</v>
      </c>
      <c r="V8" s="76">
        <f t="shared" si="1"/>
        <v>3160</v>
      </c>
      <c r="W8" s="76">
        <f t="shared" si="1"/>
        <v>0</v>
      </c>
      <c r="X8" s="76">
        <f t="shared" si="1"/>
        <v>944.8</v>
      </c>
      <c r="Y8" s="76">
        <f t="shared" si="1"/>
        <v>2215.2</v>
      </c>
      <c r="Z8" s="76">
        <f t="shared" si="1"/>
        <v>3286.8</v>
      </c>
      <c r="AA8" s="76">
        <f t="shared" si="1"/>
        <v>0</v>
      </c>
      <c r="AB8" s="76">
        <f t="shared" si="1"/>
        <v>944.8</v>
      </c>
      <c r="AC8" s="76">
        <f t="shared" si="1"/>
        <v>2342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60" customHeight="1">
      <c r="A9" s="24"/>
      <c r="B9" s="98" t="s">
        <v>110</v>
      </c>
      <c r="C9" s="77"/>
      <c r="D9" s="76">
        <f>D10</f>
        <v>0</v>
      </c>
      <c r="E9" s="76">
        <f aca="true" t="shared" si="2" ref="E9:AC9">E10</f>
        <v>0</v>
      </c>
      <c r="F9" s="76">
        <f t="shared" si="2"/>
        <v>0</v>
      </c>
      <c r="G9" s="76">
        <f t="shared" si="2"/>
        <v>0</v>
      </c>
      <c r="H9" s="76">
        <f t="shared" si="2"/>
        <v>0</v>
      </c>
      <c r="I9" s="76">
        <f t="shared" si="2"/>
        <v>0</v>
      </c>
      <c r="J9" s="76">
        <f>I9</f>
        <v>0</v>
      </c>
      <c r="K9" s="76">
        <f t="shared" si="2"/>
        <v>0</v>
      </c>
      <c r="L9" s="76">
        <f t="shared" si="2"/>
        <v>0</v>
      </c>
      <c r="M9" s="76">
        <f t="shared" si="2"/>
        <v>0</v>
      </c>
      <c r="N9" s="76">
        <f>N10</f>
        <v>0</v>
      </c>
      <c r="O9" s="76">
        <f>O10</f>
        <v>0</v>
      </c>
      <c r="P9" s="76">
        <f>P10</f>
        <v>0</v>
      </c>
      <c r="Q9" s="76">
        <f>Q10</f>
        <v>0</v>
      </c>
      <c r="R9" s="76">
        <f>R10</f>
        <v>0</v>
      </c>
      <c r="S9" s="76">
        <f t="shared" si="2"/>
        <v>0</v>
      </c>
      <c r="T9" s="76">
        <f t="shared" si="2"/>
        <v>0</v>
      </c>
      <c r="U9" s="76">
        <f t="shared" si="2"/>
        <v>0</v>
      </c>
      <c r="V9" s="76">
        <f t="shared" si="2"/>
        <v>0</v>
      </c>
      <c r="W9" s="76">
        <f t="shared" si="2"/>
        <v>0</v>
      </c>
      <c r="X9" s="76">
        <f t="shared" si="2"/>
        <v>0</v>
      </c>
      <c r="Y9" s="76">
        <f t="shared" si="2"/>
        <v>0</v>
      </c>
      <c r="Z9" s="76">
        <f t="shared" si="2"/>
        <v>0</v>
      </c>
      <c r="AA9" s="76">
        <f t="shared" si="2"/>
        <v>0</v>
      </c>
      <c r="AB9" s="76">
        <f t="shared" si="2"/>
        <v>0</v>
      </c>
      <c r="AC9" s="76">
        <f t="shared" si="2"/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29" s="74" customFormat="1" ht="39.75" customHeight="1">
      <c r="A10" s="23" t="s">
        <v>3</v>
      </c>
      <c r="B10" s="99" t="s">
        <v>42</v>
      </c>
      <c r="C10" s="78"/>
      <c r="D10" s="79">
        <f>D11+D12</f>
        <v>0</v>
      </c>
      <c r="E10" s="79">
        <f aca="true" t="shared" si="3" ref="E10:Y10">E11+E12</f>
        <v>0</v>
      </c>
      <c r="F10" s="79">
        <f>F11+F12</f>
        <v>0</v>
      </c>
      <c r="G10" s="79">
        <f t="shared" si="3"/>
        <v>0</v>
      </c>
      <c r="H10" s="79">
        <f t="shared" si="3"/>
        <v>0</v>
      </c>
      <c r="I10" s="79">
        <f t="shared" si="3"/>
        <v>0</v>
      </c>
      <c r="J10" s="79">
        <f>I10</f>
        <v>0</v>
      </c>
      <c r="K10" s="79">
        <f t="shared" si="3"/>
        <v>0</v>
      </c>
      <c r="L10" s="79">
        <f t="shared" si="3"/>
        <v>0</v>
      </c>
      <c r="M10" s="79">
        <f t="shared" si="3"/>
        <v>0</v>
      </c>
      <c r="N10" s="79">
        <f>N11+N12</f>
        <v>0</v>
      </c>
      <c r="O10" s="79">
        <f>O11+O12</f>
        <v>0</v>
      </c>
      <c r="P10" s="79">
        <f>P11+P12</f>
        <v>0</v>
      </c>
      <c r="Q10" s="79">
        <f>Q11+Q12</f>
        <v>0</v>
      </c>
      <c r="R10" s="79">
        <f>R11+R12</f>
        <v>0</v>
      </c>
      <c r="S10" s="79">
        <f t="shared" si="3"/>
        <v>0</v>
      </c>
      <c r="T10" s="79">
        <f t="shared" si="3"/>
        <v>0</v>
      </c>
      <c r="U10" s="79">
        <f t="shared" si="3"/>
        <v>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>Z11+Z12</f>
        <v>0</v>
      </c>
      <c r="AA10" s="79">
        <f>AA11+AA12</f>
        <v>0</v>
      </c>
      <c r="AB10" s="79">
        <f>AB11+AB12</f>
        <v>0</v>
      </c>
      <c r="AC10" s="79">
        <f>AC11+AC12</f>
        <v>0</v>
      </c>
    </row>
    <row r="11" spans="1:64" ht="34.5" customHeight="1">
      <c r="A11" s="19" t="s">
        <v>2</v>
      </c>
      <c r="B11" s="100" t="s">
        <v>43</v>
      </c>
      <c r="C11" s="80" t="s">
        <v>96</v>
      </c>
      <c r="D11" s="81">
        <f>SUM(E11:H11)</f>
        <v>0</v>
      </c>
      <c r="E11" s="82">
        <f aca="true" t="shared" si="4" ref="E11:G12">W11</f>
        <v>0</v>
      </c>
      <c r="F11" s="83">
        <f t="shared" si="4"/>
        <v>0</v>
      </c>
      <c r="G11" s="83">
        <f t="shared" si="4"/>
        <v>0</v>
      </c>
      <c r="H11" s="83">
        <f>J11+R11</f>
        <v>0</v>
      </c>
      <c r="I11" s="84">
        <f>J11</f>
        <v>0</v>
      </c>
      <c r="J11" s="84">
        <f>SUM(K11:M11)</f>
        <v>0</v>
      </c>
      <c r="K11" s="85">
        <v>0</v>
      </c>
      <c r="L11" s="85">
        <v>0</v>
      </c>
      <c r="M11" s="85">
        <v>0</v>
      </c>
      <c r="N11" s="81">
        <f>SUM(O11:R11)</f>
        <v>0</v>
      </c>
      <c r="O11" s="82">
        <v>0</v>
      </c>
      <c r="P11" s="82">
        <v>0</v>
      </c>
      <c r="Q11" s="82">
        <v>0</v>
      </c>
      <c r="R11" s="81">
        <v>0</v>
      </c>
      <c r="S11" s="82">
        <v>0</v>
      </c>
      <c r="T11" s="82">
        <v>0</v>
      </c>
      <c r="U11" s="82">
        <v>0</v>
      </c>
      <c r="V11" s="81">
        <f>W11+X11+Y11</f>
        <v>0</v>
      </c>
      <c r="W11" s="82">
        <v>0</v>
      </c>
      <c r="X11" s="82">
        <v>0</v>
      </c>
      <c r="Y11" s="82">
        <v>0</v>
      </c>
      <c r="Z11" s="81">
        <f>AA11+AB11+AC11</f>
        <v>0</v>
      </c>
      <c r="AA11" s="82">
        <v>0</v>
      </c>
      <c r="AB11" s="82">
        <v>0</v>
      </c>
      <c r="AC11" s="82"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38.25" customHeight="1">
      <c r="A12" s="18" t="s">
        <v>4</v>
      </c>
      <c r="B12" s="101" t="s">
        <v>44</v>
      </c>
      <c r="C12" s="86" t="s">
        <v>14</v>
      </c>
      <c r="D12" s="81">
        <f>SUM(E12:H12)</f>
        <v>0</v>
      </c>
      <c r="E12" s="82">
        <f t="shared" si="4"/>
        <v>0</v>
      </c>
      <c r="F12" s="83">
        <f t="shared" si="4"/>
        <v>0</v>
      </c>
      <c r="G12" s="83">
        <f t="shared" si="4"/>
        <v>0</v>
      </c>
      <c r="H12" s="83">
        <f>J12+R12</f>
        <v>0</v>
      </c>
      <c r="I12" s="84">
        <f>J12</f>
        <v>0</v>
      </c>
      <c r="J12" s="84">
        <f>SUM(K12:M12)</f>
        <v>0</v>
      </c>
      <c r="K12" s="85">
        <v>0</v>
      </c>
      <c r="L12" s="85">
        <v>0</v>
      </c>
      <c r="M12" s="85">
        <v>0</v>
      </c>
      <c r="N12" s="81">
        <f>SUM(O12:R12)</f>
        <v>0</v>
      </c>
      <c r="O12" s="82">
        <v>0</v>
      </c>
      <c r="P12" s="82">
        <v>0</v>
      </c>
      <c r="Q12" s="82">
        <v>0</v>
      </c>
      <c r="R12" s="81">
        <v>0</v>
      </c>
      <c r="S12" s="82">
        <v>0</v>
      </c>
      <c r="T12" s="82">
        <v>0</v>
      </c>
      <c r="U12" s="82">
        <v>0</v>
      </c>
      <c r="V12" s="81">
        <f>W12+X12+Y12</f>
        <v>0</v>
      </c>
      <c r="W12" s="82">
        <v>0</v>
      </c>
      <c r="X12" s="82">
        <v>0</v>
      </c>
      <c r="Y12" s="82">
        <v>0</v>
      </c>
      <c r="Z12" s="81">
        <f>AA12+AB12+AC12</f>
        <v>0</v>
      </c>
      <c r="AA12" s="82">
        <v>0</v>
      </c>
      <c r="AB12" s="82">
        <v>0</v>
      </c>
      <c r="AC12" s="82"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35.25" customHeight="1">
      <c r="A13" s="24"/>
      <c r="B13" s="98" t="s">
        <v>111</v>
      </c>
      <c r="C13" s="25"/>
      <c r="D13" s="76">
        <f>D14</f>
        <v>45887.315599999994</v>
      </c>
      <c r="E13" s="76">
        <f aca="true" t="shared" si="5" ref="E13:AC13">E14</f>
        <v>0</v>
      </c>
      <c r="F13" s="76">
        <f t="shared" si="5"/>
        <v>0</v>
      </c>
      <c r="G13" s="76">
        <f t="shared" si="5"/>
        <v>0</v>
      </c>
      <c r="H13" s="76">
        <f t="shared" si="5"/>
        <v>45887.315599999994</v>
      </c>
      <c r="I13" s="76">
        <f t="shared" si="5"/>
        <v>13871.23388</v>
      </c>
      <c r="J13" s="76">
        <f>I13</f>
        <v>13871.23388</v>
      </c>
      <c r="K13" s="76">
        <f t="shared" si="5"/>
        <v>0</v>
      </c>
      <c r="L13" s="76">
        <f t="shared" si="5"/>
        <v>4488.9274</v>
      </c>
      <c r="M13" s="76">
        <f t="shared" si="5"/>
        <v>9382.30648</v>
      </c>
      <c r="N13" s="76">
        <f t="shared" si="5"/>
        <v>32016.08172</v>
      </c>
      <c r="O13" s="76">
        <f t="shared" si="5"/>
        <v>0</v>
      </c>
      <c r="P13" s="76">
        <f t="shared" si="5"/>
        <v>0</v>
      </c>
      <c r="Q13" s="76">
        <f t="shared" si="5"/>
        <v>0</v>
      </c>
      <c r="R13" s="76">
        <f t="shared" si="5"/>
        <v>32016.08172</v>
      </c>
      <c r="S13" s="76">
        <f t="shared" si="5"/>
        <v>0</v>
      </c>
      <c r="T13" s="76">
        <f t="shared" si="5"/>
        <v>13525.83</v>
      </c>
      <c r="U13" s="76">
        <f>U14</f>
        <v>18490.25172</v>
      </c>
      <c r="V13" s="76">
        <f t="shared" si="5"/>
        <v>0</v>
      </c>
      <c r="W13" s="76">
        <f t="shared" si="5"/>
        <v>0</v>
      </c>
      <c r="X13" s="76">
        <f t="shared" si="5"/>
        <v>0</v>
      </c>
      <c r="Y13" s="76">
        <f t="shared" si="5"/>
        <v>0</v>
      </c>
      <c r="Z13" s="76">
        <f t="shared" si="5"/>
        <v>0</v>
      </c>
      <c r="AA13" s="76">
        <f t="shared" si="5"/>
        <v>0</v>
      </c>
      <c r="AB13" s="76">
        <f t="shared" si="5"/>
        <v>0</v>
      </c>
      <c r="AC13" s="76">
        <f t="shared" si="5"/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8" customFormat="1" ht="73.5" customHeight="1">
      <c r="A14" s="26" t="s">
        <v>8</v>
      </c>
      <c r="B14" s="102" t="s">
        <v>45</v>
      </c>
      <c r="C14" s="87"/>
      <c r="D14" s="88">
        <f>D25+D29+D30+D31</f>
        <v>45887.315599999994</v>
      </c>
      <c r="E14" s="88">
        <f aca="true" t="shared" si="6" ref="E14:AC14">E25+E29+E30+E31</f>
        <v>0</v>
      </c>
      <c r="F14" s="88">
        <f t="shared" si="6"/>
        <v>0</v>
      </c>
      <c r="G14" s="88">
        <f t="shared" si="6"/>
        <v>0</v>
      </c>
      <c r="H14" s="88">
        <f t="shared" si="6"/>
        <v>45887.315599999994</v>
      </c>
      <c r="I14" s="88">
        <f t="shared" si="6"/>
        <v>13871.23388</v>
      </c>
      <c r="J14" s="88">
        <f t="shared" si="6"/>
        <v>13871.23388</v>
      </c>
      <c r="K14" s="88">
        <f t="shared" si="6"/>
        <v>0</v>
      </c>
      <c r="L14" s="88">
        <f t="shared" si="6"/>
        <v>4488.9274</v>
      </c>
      <c r="M14" s="88">
        <f t="shared" si="6"/>
        <v>9382.30648</v>
      </c>
      <c r="N14" s="88">
        <f t="shared" si="6"/>
        <v>32016.08172</v>
      </c>
      <c r="O14" s="88">
        <f t="shared" si="6"/>
        <v>0</v>
      </c>
      <c r="P14" s="88">
        <f t="shared" si="6"/>
        <v>0</v>
      </c>
      <c r="Q14" s="88">
        <f t="shared" si="6"/>
        <v>0</v>
      </c>
      <c r="R14" s="88">
        <f t="shared" si="6"/>
        <v>32016.08172</v>
      </c>
      <c r="S14" s="88">
        <f t="shared" si="6"/>
        <v>0</v>
      </c>
      <c r="T14" s="88">
        <f t="shared" si="6"/>
        <v>13525.83</v>
      </c>
      <c r="U14" s="88">
        <f t="shared" si="6"/>
        <v>18490.25172</v>
      </c>
      <c r="V14" s="88">
        <f t="shared" si="6"/>
        <v>0</v>
      </c>
      <c r="W14" s="88">
        <f t="shared" si="6"/>
        <v>0</v>
      </c>
      <c r="X14" s="88">
        <f t="shared" si="6"/>
        <v>0</v>
      </c>
      <c r="Y14" s="88">
        <f t="shared" si="6"/>
        <v>0</v>
      </c>
      <c r="Z14" s="88">
        <f t="shared" si="6"/>
        <v>0</v>
      </c>
      <c r="AA14" s="88">
        <f t="shared" si="6"/>
        <v>0</v>
      </c>
      <c r="AB14" s="88">
        <f t="shared" si="6"/>
        <v>0</v>
      </c>
      <c r="AC14" s="88">
        <f t="shared" si="6"/>
        <v>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hidden="1">
      <c r="A15" s="10"/>
      <c r="B15" s="103" t="s">
        <v>15</v>
      </c>
      <c r="C15" s="86" t="s">
        <v>22</v>
      </c>
      <c r="D15" s="81"/>
      <c r="E15" s="81"/>
      <c r="F15" s="81"/>
      <c r="G15" s="81"/>
      <c r="H15" s="81"/>
      <c r="I15" s="84"/>
      <c r="J15" s="76">
        <f aca="true" t="shared" si="7" ref="J15:J65">I15</f>
        <v>0</v>
      </c>
      <c r="K15" s="85"/>
      <c r="L15" s="85"/>
      <c r="M15" s="85"/>
      <c r="N15" s="81"/>
      <c r="O15" s="81"/>
      <c r="P15" s="81"/>
      <c r="Q15" s="81"/>
      <c r="R15" s="81"/>
      <c r="S15" s="82"/>
      <c r="T15" s="82"/>
      <c r="U15" s="82"/>
      <c r="V15" s="81"/>
      <c r="W15" s="82"/>
      <c r="X15" s="82"/>
      <c r="Y15" s="82"/>
      <c r="Z15" s="81"/>
      <c r="AA15" s="82"/>
      <c r="AB15" s="82"/>
      <c r="AC15" s="8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8.75" customHeight="1" hidden="1">
      <c r="A16" s="10"/>
      <c r="B16" s="104" t="s">
        <v>16</v>
      </c>
      <c r="C16" s="86" t="s">
        <v>23</v>
      </c>
      <c r="D16" s="81"/>
      <c r="E16" s="81"/>
      <c r="F16" s="81"/>
      <c r="G16" s="81"/>
      <c r="H16" s="81"/>
      <c r="I16" s="84"/>
      <c r="J16" s="76">
        <f t="shared" si="7"/>
        <v>0</v>
      </c>
      <c r="K16" s="85"/>
      <c r="L16" s="85"/>
      <c r="M16" s="85"/>
      <c r="N16" s="81"/>
      <c r="O16" s="81"/>
      <c r="P16" s="81"/>
      <c r="Q16" s="81"/>
      <c r="R16" s="81"/>
      <c r="S16" s="82"/>
      <c r="T16" s="82"/>
      <c r="U16" s="82"/>
      <c r="V16" s="81"/>
      <c r="W16" s="82"/>
      <c r="X16" s="82"/>
      <c r="Y16" s="82"/>
      <c r="Z16" s="81"/>
      <c r="AA16" s="82"/>
      <c r="AB16" s="82"/>
      <c r="AC16" s="8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22.5" customHeight="1" hidden="1">
      <c r="A17" s="10"/>
      <c r="B17" s="103" t="s">
        <v>17</v>
      </c>
      <c r="C17" s="86" t="s">
        <v>23</v>
      </c>
      <c r="D17" s="81"/>
      <c r="E17" s="81"/>
      <c r="F17" s="81"/>
      <c r="G17" s="81"/>
      <c r="H17" s="81"/>
      <c r="I17" s="84"/>
      <c r="J17" s="76">
        <f t="shared" si="7"/>
        <v>0</v>
      </c>
      <c r="K17" s="85"/>
      <c r="L17" s="85"/>
      <c r="M17" s="85"/>
      <c r="N17" s="81"/>
      <c r="O17" s="81"/>
      <c r="P17" s="81"/>
      <c r="Q17" s="81"/>
      <c r="R17" s="81"/>
      <c r="S17" s="82"/>
      <c r="T17" s="82"/>
      <c r="U17" s="82"/>
      <c r="V17" s="81"/>
      <c r="W17" s="82"/>
      <c r="X17" s="82"/>
      <c r="Y17" s="82"/>
      <c r="Z17" s="81"/>
      <c r="AA17" s="82"/>
      <c r="AB17" s="82"/>
      <c r="AC17" s="8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24" customHeight="1" hidden="1">
      <c r="A18" s="10"/>
      <c r="B18" s="105" t="s">
        <v>18</v>
      </c>
      <c r="C18" s="86" t="s">
        <v>23</v>
      </c>
      <c r="D18" s="81"/>
      <c r="E18" s="81"/>
      <c r="F18" s="81"/>
      <c r="G18" s="81"/>
      <c r="H18" s="81"/>
      <c r="I18" s="84"/>
      <c r="J18" s="76">
        <f t="shared" si="7"/>
        <v>0</v>
      </c>
      <c r="K18" s="85"/>
      <c r="L18" s="85"/>
      <c r="M18" s="85"/>
      <c r="N18" s="81"/>
      <c r="O18" s="81"/>
      <c r="P18" s="81"/>
      <c r="Q18" s="81"/>
      <c r="R18" s="81"/>
      <c r="S18" s="82"/>
      <c r="T18" s="82"/>
      <c r="U18" s="82"/>
      <c r="V18" s="81"/>
      <c r="W18" s="82"/>
      <c r="X18" s="82"/>
      <c r="Y18" s="82"/>
      <c r="Z18" s="81"/>
      <c r="AA18" s="82"/>
      <c r="AB18" s="82"/>
      <c r="AC18" s="8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26.25" customHeight="1" hidden="1">
      <c r="A19" s="21"/>
      <c r="B19" s="105" t="s">
        <v>19</v>
      </c>
      <c r="C19" s="86" t="s">
        <v>23</v>
      </c>
      <c r="D19" s="81"/>
      <c r="E19" s="81"/>
      <c r="F19" s="81"/>
      <c r="G19" s="81"/>
      <c r="H19" s="81"/>
      <c r="I19" s="84"/>
      <c r="J19" s="76">
        <f t="shared" si="7"/>
        <v>0</v>
      </c>
      <c r="K19" s="85"/>
      <c r="L19" s="85"/>
      <c r="M19" s="85"/>
      <c r="N19" s="81"/>
      <c r="O19" s="81"/>
      <c r="P19" s="81"/>
      <c r="Q19" s="81"/>
      <c r="R19" s="81"/>
      <c r="S19" s="82"/>
      <c r="T19" s="82"/>
      <c r="U19" s="82"/>
      <c r="V19" s="81"/>
      <c r="W19" s="82"/>
      <c r="X19" s="82"/>
      <c r="Y19" s="82"/>
      <c r="Z19" s="81"/>
      <c r="AA19" s="82"/>
      <c r="AB19" s="82"/>
      <c r="AC19" s="8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25.5" customHeight="1" hidden="1">
      <c r="A20" s="10"/>
      <c r="B20" s="105" t="s">
        <v>20</v>
      </c>
      <c r="C20" s="86" t="s">
        <v>23</v>
      </c>
      <c r="D20" s="81"/>
      <c r="E20" s="81"/>
      <c r="F20" s="81"/>
      <c r="G20" s="81"/>
      <c r="H20" s="81"/>
      <c r="I20" s="84"/>
      <c r="J20" s="76">
        <f t="shared" si="7"/>
        <v>0</v>
      </c>
      <c r="K20" s="85"/>
      <c r="L20" s="85"/>
      <c r="M20" s="85"/>
      <c r="N20" s="81"/>
      <c r="O20" s="81"/>
      <c r="P20" s="81"/>
      <c r="Q20" s="81"/>
      <c r="R20" s="81"/>
      <c r="S20" s="82"/>
      <c r="T20" s="82"/>
      <c r="U20" s="82"/>
      <c r="V20" s="81"/>
      <c r="W20" s="82"/>
      <c r="X20" s="82"/>
      <c r="Y20" s="82"/>
      <c r="Z20" s="81"/>
      <c r="AA20" s="82"/>
      <c r="AB20" s="82"/>
      <c r="AC20" s="8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26.25" customHeight="1" hidden="1">
      <c r="A21" s="10"/>
      <c r="B21" s="105" t="s">
        <v>27</v>
      </c>
      <c r="C21" s="86" t="s">
        <v>23</v>
      </c>
      <c r="D21" s="81"/>
      <c r="E21" s="81"/>
      <c r="F21" s="81"/>
      <c r="G21" s="81"/>
      <c r="H21" s="81"/>
      <c r="I21" s="84"/>
      <c r="J21" s="76">
        <f t="shared" si="7"/>
        <v>0</v>
      </c>
      <c r="K21" s="85"/>
      <c r="L21" s="85"/>
      <c r="M21" s="85"/>
      <c r="N21" s="81"/>
      <c r="O21" s="81"/>
      <c r="P21" s="81"/>
      <c r="Q21" s="81"/>
      <c r="R21" s="81"/>
      <c r="S21" s="82"/>
      <c r="T21" s="82"/>
      <c r="U21" s="82"/>
      <c r="V21" s="81"/>
      <c r="W21" s="82"/>
      <c r="X21" s="82"/>
      <c r="Y21" s="82"/>
      <c r="Z21" s="81"/>
      <c r="AA21" s="82"/>
      <c r="AB21" s="82"/>
      <c r="AC21" s="8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1.75" customHeight="1" hidden="1">
      <c r="A22" s="10"/>
      <c r="B22" s="105" t="s">
        <v>21</v>
      </c>
      <c r="C22" s="86" t="s">
        <v>23</v>
      </c>
      <c r="D22" s="81"/>
      <c r="E22" s="81"/>
      <c r="F22" s="81"/>
      <c r="G22" s="81"/>
      <c r="H22" s="81"/>
      <c r="I22" s="84"/>
      <c r="J22" s="76">
        <f t="shared" si="7"/>
        <v>0</v>
      </c>
      <c r="K22" s="85"/>
      <c r="L22" s="85"/>
      <c r="M22" s="85"/>
      <c r="N22" s="81"/>
      <c r="O22" s="81"/>
      <c r="P22" s="81"/>
      <c r="Q22" s="81"/>
      <c r="R22" s="81"/>
      <c r="S22" s="82"/>
      <c r="T22" s="82"/>
      <c r="U22" s="82"/>
      <c r="V22" s="81"/>
      <c r="W22" s="82"/>
      <c r="X22" s="82"/>
      <c r="Y22" s="82"/>
      <c r="Z22" s="81"/>
      <c r="AA22" s="82"/>
      <c r="AB22" s="82"/>
      <c r="AC22" s="8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34.5" customHeight="1" hidden="1">
      <c r="A23" s="11"/>
      <c r="B23" s="105" t="s">
        <v>5</v>
      </c>
      <c r="C23" s="86" t="s">
        <v>23</v>
      </c>
      <c r="D23" s="81"/>
      <c r="E23" s="81"/>
      <c r="F23" s="81"/>
      <c r="G23" s="81"/>
      <c r="H23" s="81"/>
      <c r="I23" s="84"/>
      <c r="J23" s="76">
        <f t="shared" si="7"/>
        <v>0</v>
      </c>
      <c r="K23" s="85"/>
      <c r="L23" s="85"/>
      <c r="M23" s="85"/>
      <c r="N23" s="81"/>
      <c r="O23" s="81"/>
      <c r="P23" s="81"/>
      <c r="Q23" s="81"/>
      <c r="R23" s="81"/>
      <c r="S23" s="82"/>
      <c r="T23" s="82"/>
      <c r="U23" s="82"/>
      <c r="V23" s="81"/>
      <c r="W23" s="82"/>
      <c r="X23" s="82"/>
      <c r="Y23" s="82"/>
      <c r="Z23" s="81"/>
      <c r="AA23" s="82"/>
      <c r="AB23" s="82"/>
      <c r="AC23" s="8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49.5" customHeight="1" hidden="1">
      <c r="A24" s="11"/>
      <c r="B24" s="105" t="s">
        <v>6</v>
      </c>
      <c r="C24" s="86" t="s">
        <v>23</v>
      </c>
      <c r="D24" s="81"/>
      <c r="E24" s="81"/>
      <c r="F24" s="81"/>
      <c r="G24" s="81"/>
      <c r="H24" s="81"/>
      <c r="I24" s="84"/>
      <c r="J24" s="76">
        <f t="shared" si="7"/>
        <v>0</v>
      </c>
      <c r="K24" s="85"/>
      <c r="L24" s="85"/>
      <c r="M24" s="85"/>
      <c r="N24" s="81"/>
      <c r="O24" s="81"/>
      <c r="P24" s="81"/>
      <c r="Q24" s="81"/>
      <c r="R24" s="81"/>
      <c r="S24" s="82"/>
      <c r="T24" s="82"/>
      <c r="U24" s="82"/>
      <c r="V24" s="81"/>
      <c r="W24" s="82"/>
      <c r="X24" s="82"/>
      <c r="Y24" s="82"/>
      <c r="Z24" s="81"/>
      <c r="AA24" s="82"/>
      <c r="AB24" s="82"/>
      <c r="AC24" s="8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29" s="12" customFormat="1" ht="60" customHeight="1">
      <c r="A25" s="27" t="s">
        <v>9</v>
      </c>
      <c r="B25" s="101" t="s">
        <v>64</v>
      </c>
      <c r="C25" s="86" t="s">
        <v>22</v>
      </c>
      <c r="D25" s="81">
        <f aca="true" t="shared" si="8" ref="D25:D30">SUM(E25:H25)</f>
        <v>45444.9727</v>
      </c>
      <c r="E25" s="82">
        <f aca="true" t="shared" si="9" ref="E25:G30">W25</f>
        <v>0</v>
      </c>
      <c r="F25" s="83">
        <f t="shared" si="9"/>
        <v>0</v>
      </c>
      <c r="G25" s="83">
        <f t="shared" si="9"/>
        <v>0</v>
      </c>
      <c r="H25" s="83">
        <f aca="true" t="shared" si="10" ref="H25:H30">J25+R25</f>
        <v>45444.9727</v>
      </c>
      <c r="I25" s="84">
        <f aca="true" t="shared" si="11" ref="I25:I30">J25</f>
        <v>13745.98098</v>
      </c>
      <c r="J25" s="84">
        <f aca="true" t="shared" si="12" ref="J25:J30">SUM(K25:M25)</f>
        <v>13745.98098</v>
      </c>
      <c r="K25" s="85">
        <v>0</v>
      </c>
      <c r="L25" s="85">
        <v>4488.9274</v>
      </c>
      <c r="M25" s="89">
        <f>8744.55016+16.17961+496.32381</f>
        <v>9257.05358</v>
      </c>
      <c r="N25" s="81">
        <f aca="true" t="shared" si="13" ref="N25:N30">SUM(O25:R25)</f>
        <v>31698.991719999998</v>
      </c>
      <c r="O25" s="82">
        <v>0</v>
      </c>
      <c r="P25" s="82">
        <v>0</v>
      </c>
      <c r="Q25" s="82">
        <v>0</v>
      </c>
      <c r="R25" s="81">
        <f aca="true" t="shared" si="14" ref="R25:R30">SUM(S25:U25)</f>
        <v>31698.991719999998</v>
      </c>
      <c r="S25" s="82">
        <v>0</v>
      </c>
      <c r="T25" s="82">
        <f>T26+T27</f>
        <v>13525.83</v>
      </c>
      <c r="U25" s="89">
        <f>18790.25172-300-300-17.09</f>
        <v>18173.16172</v>
      </c>
      <c r="V25" s="81">
        <f aca="true" t="shared" si="15" ref="V25:V30">W25+X25+Y25</f>
        <v>0</v>
      </c>
      <c r="W25" s="82">
        <v>0</v>
      </c>
      <c r="X25" s="82">
        <v>0</v>
      </c>
      <c r="Y25" s="82">
        <v>0</v>
      </c>
      <c r="Z25" s="81">
        <f aca="true" t="shared" si="16" ref="Z25:Z30">AA25+AB25+AC25</f>
        <v>0</v>
      </c>
      <c r="AA25" s="82">
        <v>0</v>
      </c>
      <c r="AB25" s="82">
        <v>0</v>
      </c>
      <c r="AC25" s="82">
        <v>0</v>
      </c>
    </row>
    <row r="26" spans="1:29" s="12" customFormat="1" ht="33.75" customHeight="1">
      <c r="A26" s="27"/>
      <c r="B26" s="106" t="s">
        <v>61</v>
      </c>
      <c r="C26" s="86" t="s">
        <v>22</v>
      </c>
      <c r="D26" s="81">
        <f t="shared" si="8"/>
        <v>18779.598</v>
      </c>
      <c r="E26" s="82">
        <f t="shared" si="9"/>
        <v>0</v>
      </c>
      <c r="F26" s="83">
        <f t="shared" si="9"/>
        <v>0</v>
      </c>
      <c r="G26" s="83">
        <f t="shared" si="9"/>
        <v>0</v>
      </c>
      <c r="H26" s="83">
        <f t="shared" si="10"/>
        <v>18779.598</v>
      </c>
      <c r="I26" s="84">
        <f t="shared" si="11"/>
        <v>4668.978</v>
      </c>
      <c r="J26" s="84">
        <f t="shared" si="12"/>
        <v>4668.978</v>
      </c>
      <c r="K26" s="85">
        <v>0</v>
      </c>
      <c r="L26" s="85">
        <f>3406.717+1028.828</f>
        <v>4435.545</v>
      </c>
      <c r="M26" s="85">
        <f>179.288+54.145</f>
        <v>233.43300000000002</v>
      </c>
      <c r="N26" s="81">
        <f t="shared" si="13"/>
        <v>14110.62</v>
      </c>
      <c r="O26" s="82">
        <v>0</v>
      </c>
      <c r="P26" s="82">
        <v>0</v>
      </c>
      <c r="Q26" s="82">
        <v>0</v>
      </c>
      <c r="R26" s="81">
        <f t="shared" si="14"/>
        <v>14110.62</v>
      </c>
      <c r="S26" s="82">
        <v>0</v>
      </c>
      <c r="T26" s="82">
        <v>13405.09</v>
      </c>
      <c r="U26" s="89">
        <v>705.53</v>
      </c>
      <c r="V26" s="81">
        <f t="shared" si="15"/>
        <v>0</v>
      </c>
      <c r="W26" s="82">
        <v>0</v>
      </c>
      <c r="X26" s="82">
        <v>0</v>
      </c>
      <c r="Y26" s="82">
        <v>0</v>
      </c>
      <c r="Z26" s="81">
        <f t="shared" si="16"/>
        <v>0</v>
      </c>
      <c r="AA26" s="82">
        <v>0</v>
      </c>
      <c r="AB26" s="82">
        <v>0</v>
      </c>
      <c r="AC26" s="82">
        <v>0</v>
      </c>
    </row>
    <row r="27" spans="1:29" s="12" customFormat="1" ht="38.25" customHeight="1">
      <c r="A27" s="27"/>
      <c r="B27" s="106" t="s">
        <v>62</v>
      </c>
      <c r="C27" s="86" t="s">
        <v>22</v>
      </c>
      <c r="D27" s="81">
        <f t="shared" si="8"/>
        <v>183.4924</v>
      </c>
      <c r="E27" s="82">
        <f t="shared" si="9"/>
        <v>0</v>
      </c>
      <c r="F27" s="83">
        <f t="shared" si="9"/>
        <v>0</v>
      </c>
      <c r="G27" s="83">
        <f t="shared" si="9"/>
        <v>0</v>
      </c>
      <c r="H27" s="83">
        <f t="shared" si="10"/>
        <v>183.4924</v>
      </c>
      <c r="I27" s="84">
        <f t="shared" si="11"/>
        <v>56.382400000000004</v>
      </c>
      <c r="J27" s="84">
        <f t="shared" si="12"/>
        <v>56.382400000000004</v>
      </c>
      <c r="K27" s="85">
        <v>0</v>
      </c>
      <c r="L27" s="85">
        <f>41+12.3824</f>
        <v>53.382400000000004</v>
      </c>
      <c r="M27" s="85">
        <f>2.333+0.667</f>
        <v>3</v>
      </c>
      <c r="N27" s="81">
        <f t="shared" si="13"/>
        <v>127.11</v>
      </c>
      <c r="O27" s="82">
        <v>0</v>
      </c>
      <c r="P27" s="82">
        <v>0</v>
      </c>
      <c r="Q27" s="82">
        <v>0</v>
      </c>
      <c r="R27" s="81">
        <f t="shared" si="14"/>
        <v>127.11</v>
      </c>
      <c r="S27" s="82">
        <v>0</v>
      </c>
      <c r="T27" s="82">
        <v>120.74</v>
      </c>
      <c r="U27" s="89">
        <v>6.37</v>
      </c>
      <c r="V27" s="81">
        <f t="shared" si="15"/>
        <v>0</v>
      </c>
      <c r="W27" s="82">
        <v>0</v>
      </c>
      <c r="X27" s="82">
        <v>0</v>
      </c>
      <c r="Y27" s="82">
        <v>0</v>
      </c>
      <c r="Z27" s="81">
        <f t="shared" si="16"/>
        <v>0</v>
      </c>
      <c r="AA27" s="82">
        <v>0</v>
      </c>
      <c r="AB27" s="82">
        <v>0</v>
      </c>
      <c r="AC27" s="82">
        <v>0</v>
      </c>
    </row>
    <row r="28" spans="1:29" s="12" customFormat="1" ht="36" customHeight="1">
      <c r="A28" s="27"/>
      <c r="B28" s="106" t="s">
        <v>63</v>
      </c>
      <c r="C28" s="86" t="s">
        <v>22</v>
      </c>
      <c r="D28" s="81">
        <f t="shared" si="8"/>
        <v>0</v>
      </c>
      <c r="E28" s="82">
        <f t="shared" si="9"/>
        <v>0</v>
      </c>
      <c r="F28" s="83">
        <f t="shared" si="9"/>
        <v>0</v>
      </c>
      <c r="G28" s="83">
        <f t="shared" si="9"/>
        <v>0</v>
      </c>
      <c r="H28" s="83">
        <f t="shared" si="10"/>
        <v>0</v>
      </c>
      <c r="I28" s="84">
        <f t="shared" si="11"/>
        <v>0</v>
      </c>
      <c r="J28" s="84">
        <f t="shared" si="12"/>
        <v>0</v>
      </c>
      <c r="K28" s="85">
        <v>0</v>
      </c>
      <c r="L28" s="85">
        <v>0</v>
      </c>
      <c r="M28" s="85">
        <v>0</v>
      </c>
      <c r="N28" s="81">
        <f t="shared" si="13"/>
        <v>0</v>
      </c>
      <c r="O28" s="82">
        <v>0</v>
      </c>
      <c r="P28" s="82">
        <v>0</v>
      </c>
      <c r="Q28" s="82">
        <v>0</v>
      </c>
      <c r="R28" s="81">
        <f t="shared" si="14"/>
        <v>0</v>
      </c>
      <c r="S28" s="82">
        <v>0</v>
      </c>
      <c r="T28" s="82">
        <v>0</v>
      </c>
      <c r="U28" s="89">
        <v>0</v>
      </c>
      <c r="V28" s="81">
        <f t="shared" si="15"/>
        <v>0</v>
      </c>
      <c r="W28" s="82">
        <v>0</v>
      </c>
      <c r="X28" s="82">
        <v>0</v>
      </c>
      <c r="Y28" s="82">
        <v>0</v>
      </c>
      <c r="Z28" s="81">
        <f t="shared" si="16"/>
        <v>0</v>
      </c>
      <c r="AA28" s="82">
        <v>0</v>
      </c>
      <c r="AB28" s="82">
        <v>0</v>
      </c>
      <c r="AC28" s="82">
        <v>0</v>
      </c>
    </row>
    <row r="29" spans="1:29" s="12" customFormat="1" ht="59.25" customHeight="1">
      <c r="A29" s="27" t="s">
        <v>10</v>
      </c>
      <c r="B29" s="107" t="s">
        <v>48</v>
      </c>
      <c r="C29" s="86" t="s">
        <v>23</v>
      </c>
      <c r="D29" s="81">
        <f t="shared" si="8"/>
        <v>425.2529</v>
      </c>
      <c r="E29" s="82">
        <f t="shared" si="9"/>
        <v>0</v>
      </c>
      <c r="F29" s="83">
        <f t="shared" si="9"/>
        <v>0</v>
      </c>
      <c r="G29" s="83">
        <f t="shared" si="9"/>
        <v>0</v>
      </c>
      <c r="H29" s="83">
        <f t="shared" si="10"/>
        <v>425.2529</v>
      </c>
      <c r="I29" s="84">
        <f t="shared" si="11"/>
        <v>125.2529</v>
      </c>
      <c r="J29" s="84">
        <f t="shared" si="12"/>
        <v>125.2529</v>
      </c>
      <c r="K29" s="85">
        <v>0</v>
      </c>
      <c r="L29" s="85">
        <v>0</v>
      </c>
      <c r="M29" s="85">
        <f>64.6848+42.56118+19.58832-1.5814</f>
        <v>125.2529</v>
      </c>
      <c r="N29" s="81">
        <f t="shared" si="13"/>
        <v>300</v>
      </c>
      <c r="O29" s="82">
        <v>0</v>
      </c>
      <c r="P29" s="82">
        <v>0</v>
      </c>
      <c r="Q29" s="82">
        <v>0</v>
      </c>
      <c r="R29" s="81">
        <f t="shared" si="14"/>
        <v>300</v>
      </c>
      <c r="S29" s="82">
        <v>0</v>
      </c>
      <c r="T29" s="82">
        <v>0</v>
      </c>
      <c r="U29" s="89">
        <v>300</v>
      </c>
      <c r="V29" s="81">
        <f t="shared" si="15"/>
        <v>0</v>
      </c>
      <c r="W29" s="82">
        <v>0</v>
      </c>
      <c r="X29" s="82">
        <v>0</v>
      </c>
      <c r="Y29" s="82">
        <v>0</v>
      </c>
      <c r="Z29" s="81">
        <f t="shared" si="16"/>
        <v>0</v>
      </c>
      <c r="AA29" s="82">
        <v>0</v>
      </c>
      <c r="AB29" s="82">
        <v>0</v>
      </c>
      <c r="AC29" s="82">
        <v>0</v>
      </c>
    </row>
    <row r="30" spans="1:64" ht="31.5" customHeight="1">
      <c r="A30" s="27" t="s">
        <v>11</v>
      </c>
      <c r="B30" s="101" t="s">
        <v>46</v>
      </c>
      <c r="C30" s="86" t="s">
        <v>23</v>
      </c>
      <c r="D30" s="81">
        <f t="shared" si="8"/>
        <v>0</v>
      </c>
      <c r="E30" s="82">
        <f t="shared" si="9"/>
        <v>0</v>
      </c>
      <c r="F30" s="83">
        <f t="shared" si="9"/>
        <v>0</v>
      </c>
      <c r="G30" s="83">
        <f t="shared" si="9"/>
        <v>0</v>
      </c>
      <c r="H30" s="83">
        <f t="shared" si="10"/>
        <v>0</v>
      </c>
      <c r="I30" s="84">
        <f t="shared" si="11"/>
        <v>0</v>
      </c>
      <c r="J30" s="84">
        <f t="shared" si="12"/>
        <v>0</v>
      </c>
      <c r="K30" s="85">
        <v>0</v>
      </c>
      <c r="L30" s="85">
        <v>0</v>
      </c>
      <c r="M30" s="85">
        <v>0</v>
      </c>
      <c r="N30" s="81">
        <f t="shared" si="13"/>
        <v>0</v>
      </c>
      <c r="O30" s="82">
        <v>0</v>
      </c>
      <c r="P30" s="82">
        <v>0</v>
      </c>
      <c r="Q30" s="82">
        <v>0</v>
      </c>
      <c r="R30" s="81">
        <f t="shared" si="14"/>
        <v>0</v>
      </c>
      <c r="S30" s="82">
        <v>0</v>
      </c>
      <c r="T30" s="82">
        <v>0</v>
      </c>
      <c r="U30" s="82">
        <v>0</v>
      </c>
      <c r="V30" s="81">
        <f t="shared" si="15"/>
        <v>0</v>
      </c>
      <c r="W30" s="82">
        <v>0</v>
      </c>
      <c r="X30" s="82">
        <v>0</v>
      </c>
      <c r="Y30" s="82">
        <v>0</v>
      </c>
      <c r="Z30" s="81">
        <f t="shared" si="16"/>
        <v>0</v>
      </c>
      <c r="AA30" s="82">
        <v>0</v>
      </c>
      <c r="AB30" s="82">
        <v>0</v>
      </c>
      <c r="AC30" s="82"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42" customHeight="1">
      <c r="A31" s="27" t="s">
        <v>69</v>
      </c>
      <c r="B31" s="101" t="s">
        <v>134</v>
      </c>
      <c r="C31" s="86" t="s">
        <v>23</v>
      </c>
      <c r="D31" s="81">
        <f>SUM(E31:H31)</f>
        <v>17.09</v>
      </c>
      <c r="E31" s="82">
        <f>W31</f>
        <v>0</v>
      </c>
      <c r="F31" s="83">
        <f>X31</f>
        <v>0</v>
      </c>
      <c r="G31" s="83">
        <f>Y31</f>
        <v>0</v>
      </c>
      <c r="H31" s="83">
        <f>J31+R31</f>
        <v>17.09</v>
      </c>
      <c r="I31" s="84">
        <f>J31</f>
        <v>0</v>
      </c>
      <c r="J31" s="84">
        <f>SUM(K31:M31)</f>
        <v>0</v>
      </c>
      <c r="K31" s="85">
        <v>0</v>
      </c>
      <c r="L31" s="85">
        <v>0</v>
      </c>
      <c r="M31" s="85">
        <v>0</v>
      </c>
      <c r="N31" s="81">
        <f>SUM(O31:R31)</f>
        <v>17.09</v>
      </c>
      <c r="O31" s="82">
        <v>0</v>
      </c>
      <c r="P31" s="82">
        <v>0</v>
      </c>
      <c r="Q31" s="82">
        <v>0</v>
      </c>
      <c r="R31" s="81">
        <f>SUM(S31:U31)</f>
        <v>17.09</v>
      </c>
      <c r="S31" s="82">
        <v>0</v>
      </c>
      <c r="T31" s="82">
        <v>0</v>
      </c>
      <c r="U31" s="82">
        <v>17.09</v>
      </c>
      <c r="V31" s="81">
        <f>W31+X31+Y31</f>
        <v>0</v>
      </c>
      <c r="W31" s="82">
        <v>0</v>
      </c>
      <c r="X31" s="82">
        <v>0</v>
      </c>
      <c r="Y31" s="82">
        <v>0</v>
      </c>
      <c r="Z31" s="81">
        <f>AA31+AB31+AC31</f>
        <v>0</v>
      </c>
      <c r="AA31" s="82">
        <v>0</v>
      </c>
      <c r="AB31" s="82">
        <v>0</v>
      </c>
      <c r="AC31" s="82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29" ht="48.75" customHeight="1">
      <c r="A32" s="28"/>
      <c r="B32" s="98" t="s">
        <v>112</v>
      </c>
      <c r="C32" s="77"/>
      <c r="D32" s="76">
        <f>D33</f>
        <v>7237.19524</v>
      </c>
      <c r="E32" s="76">
        <f aca="true" t="shared" si="17" ref="E32:AC32">E33</f>
        <v>0</v>
      </c>
      <c r="F32" s="76">
        <f t="shared" si="17"/>
        <v>0</v>
      </c>
      <c r="G32" s="76">
        <f t="shared" si="17"/>
        <v>0</v>
      </c>
      <c r="H32" s="76">
        <f t="shared" si="17"/>
        <v>7237.19524</v>
      </c>
      <c r="I32" s="76">
        <f t="shared" si="17"/>
        <v>2230.3502200000003</v>
      </c>
      <c r="J32" s="76">
        <f t="shared" si="7"/>
        <v>2230.3502200000003</v>
      </c>
      <c r="K32" s="76">
        <f t="shared" si="17"/>
        <v>0</v>
      </c>
      <c r="L32" s="76">
        <f t="shared" si="17"/>
        <v>662.022</v>
      </c>
      <c r="M32" s="76">
        <f t="shared" si="17"/>
        <v>1568.32822</v>
      </c>
      <c r="N32" s="76">
        <f t="shared" si="17"/>
        <v>5006.84502</v>
      </c>
      <c r="O32" s="76">
        <f t="shared" si="17"/>
        <v>0</v>
      </c>
      <c r="P32" s="76">
        <f t="shared" si="17"/>
        <v>0</v>
      </c>
      <c r="Q32" s="76">
        <f t="shared" si="17"/>
        <v>0</v>
      </c>
      <c r="R32" s="76">
        <f t="shared" si="17"/>
        <v>5006.84502</v>
      </c>
      <c r="S32" s="76">
        <f t="shared" si="17"/>
        <v>0</v>
      </c>
      <c r="T32" s="76">
        <f t="shared" si="17"/>
        <v>2062.31</v>
      </c>
      <c r="U32" s="76">
        <f>U33</f>
        <v>2944.53502</v>
      </c>
      <c r="V32" s="76">
        <f t="shared" si="17"/>
        <v>0</v>
      </c>
      <c r="W32" s="76">
        <f t="shared" si="17"/>
        <v>0</v>
      </c>
      <c r="X32" s="76">
        <f t="shared" si="17"/>
        <v>0</v>
      </c>
      <c r="Y32" s="76">
        <f t="shared" si="17"/>
        <v>0</v>
      </c>
      <c r="Z32" s="76">
        <f t="shared" si="17"/>
        <v>0</v>
      </c>
      <c r="AA32" s="76">
        <f t="shared" si="17"/>
        <v>0</v>
      </c>
      <c r="AB32" s="76">
        <f t="shared" si="17"/>
        <v>0</v>
      </c>
      <c r="AC32" s="76">
        <f t="shared" si="17"/>
        <v>0</v>
      </c>
    </row>
    <row r="33" spans="1:29" ht="60" customHeight="1">
      <c r="A33" s="29" t="s">
        <v>12</v>
      </c>
      <c r="B33" s="108" t="s">
        <v>47</v>
      </c>
      <c r="C33" s="90"/>
      <c r="D33" s="91">
        <f>D34+D38</f>
        <v>7237.19524</v>
      </c>
      <c r="E33" s="91">
        <f aca="true" t="shared" si="18" ref="E33:Y33">E34+E38</f>
        <v>0</v>
      </c>
      <c r="F33" s="91">
        <f t="shared" si="18"/>
        <v>0</v>
      </c>
      <c r="G33" s="91">
        <f t="shared" si="18"/>
        <v>0</v>
      </c>
      <c r="H33" s="91">
        <f t="shared" si="18"/>
        <v>7237.19524</v>
      </c>
      <c r="I33" s="91">
        <f t="shared" si="18"/>
        <v>2230.3502200000003</v>
      </c>
      <c r="J33" s="79">
        <f t="shared" si="7"/>
        <v>2230.3502200000003</v>
      </c>
      <c r="K33" s="91">
        <f t="shared" si="18"/>
        <v>0</v>
      </c>
      <c r="L33" s="91">
        <f t="shared" si="18"/>
        <v>662.022</v>
      </c>
      <c r="M33" s="91">
        <f t="shared" si="18"/>
        <v>1568.32822</v>
      </c>
      <c r="N33" s="91">
        <f t="shared" si="18"/>
        <v>5006.84502</v>
      </c>
      <c r="O33" s="91">
        <f t="shared" si="18"/>
        <v>0</v>
      </c>
      <c r="P33" s="91">
        <f t="shared" si="18"/>
        <v>0</v>
      </c>
      <c r="Q33" s="91">
        <f t="shared" si="18"/>
        <v>0</v>
      </c>
      <c r="R33" s="91">
        <f t="shared" si="18"/>
        <v>5006.84502</v>
      </c>
      <c r="S33" s="91">
        <f t="shared" si="18"/>
        <v>0</v>
      </c>
      <c r="T33" s="91">
        <f>T34+T38</f>
        <v>2062.31</v>
      </c>
      <c r="U33" s="91">
        <f t="shared" si="18"/>
        <v>2944.53502</v>
      </c>
      <c r="V33" s="91">
        <f t="shared" si="18"/>
        <v>0</v>
      </c>
      <c r="W33" s="91">
        <f t="shared" si="18"/>
        <v>0</v>
      </c>
      <c r="X33" s="91">
        <f t="shared" si="18"/>
        <v>0</v>
      </c>
      <c r="Y33" s="91">
        <f t="shared" si="18"/>
        <v>0</v>
      </c>
      <c r="Z33" s="91">
        <f>Z34+Z38</f>
        <v>0</v>
      </c>
      <c r="AA33" s="91">
        <f>AA34+AA38</f>
        <v>0</v>
      </c>
      <c r="AB33" s="91">
        <f>AB34+AB38</f>
        <v>0</v>
      </c>
      <c r="AC33" s="91">
        <f>AC34+AC38</f>
        <v>0</v>
      </c>
    </row>
    <row r="34" spans="1:29" ht="57.75" customHeight="1">
      <c r="A34" s="27" t="s">
        <v>24</v>
      </c>
      <c r="B34" s="109" t="s">
        <v>65</v>
      </c>
      <c r="C34" s="92" t="s">
        <v>25</v>
      </c>
      <c r="D34" s="81">
        <f>SUM(E34:H34)</f>
        <v>7110.38454</v>
      </c>
      <c r="E34" s="82">
        <f aca="true" t="shared" si="19" ref="E34:G38">W34</f>
        <v>0</v>
      </c>
      <c r="F34" s="83">
        <f t="shared" si="19"/>
        <v>0</v>
      </c>
      <c r="G34" s="83">
        <f t="shared" si="19"/>
        <v>0</v>
      </c>
      <c r="H34" s="83">
        <f>J34+R34</f>
        <v>7110.38454</v>
      </c>
      <c r="I34" s="84">
        <f>J34</f>
        <v>2203.5395200000003</v>
      </c>
      <c r="J34" s="84">
        <f>SUM(K34:M34)</f>
        <v>2203.5395200000003</v>
      </c>
      <c r="K34" s="85">
        <v>0</v>
      </c>
      <c r="L34" s="85">
        <v>662.022</v>
      </c>
      <c r="M34" s="89">
        <f>1228.67152+312.846</f>
        <v>1541.51752</v>
      </c>
      <c r="N34" s="81">
        <f>SUM(O34:R34)</f>
        <v>4906.84502</v>
      </c>
      <c r="O34" s="82">
        <v>0</v>
      </c>
      <c r="P34" s="82">
        <v>0</v>
      </c>
      <c r="Q34" s="82">
        <v>0</v>
      </c>
      <c r="R34" s="81">
        <f>SUM(S34:U34)</f>
        <v>4906.84502</v>
      </c>
      <c r="S34" s="82">
        <v>0</v>
      </c>
      <c r="T34" s="82">
        <f>T35</f>
        <v>2062.31</v>
      </c>
      <c r="U34" s="89">
        <f>2944.53502-100</f>
        <v>2844.53502</v>
      </c>
      <c r="V34" s="81">
        <f>W34+X34+Y34</f>
        <v>0</v>
      </c>
      <c r="W34" s="82">
        <v>0</v>
      </c>
      <c r="X34" s="82">
        <v>0</v>
      </c>
      <c r="Y34" s="82">
        <v>0</v>
      </c>
      <c r="Z34" s="81">
        <f>AA34+AB34+AC34</f>
        <v>0</v>
      </c>
      <c r="AA34" s="82">
        <v>0</v>
      </c>
      <c r="AB34" s="82">
        <v>0</v>
      </c>
      <c r="AC34" s="82">
        <v>0</v>
      </c>
    </row>
    <row r="35" spans="1:29" ht="32.25" customHeight="1">
      <c r="A35" s="27"/>
      <c r="B35" s="106" t="s">
        <v>61</v>
      </c>
      <c r="C35" s="92" t="s">
        <v>25</v>
      </c>
      <c r="D35" s="81">
        <f>SUM(E35:H35)</f>
        <v>2867.723</v>
      </c>
      <c r="E35" s="82">
        <f t="shared" si="19"/>
        <v>0</v>
      </c>
      <c r="F35" s="83">
        <f t="shared" si="19"/>
        <v>0</v>
      </c>
      <c r="G35" s="83">
        <f t="shared" si="19"/>
        <v>0</v>
      </c>
      <c r="H35" s="83">
        <f>J35+R35</f>
        <v>2867.723</v>
      </c>
      <c r="I35" s="84">
        <f>J35</f>
        <v>696.8629999999999</v>
      </c>
      <c r="J35" s="84">
        <f>SUM(K35:M35)</f>
        <v>696.8629999999999</v>
      </c>
      <c r="K35" s="85">
        <v>0</v>
      </c>
      <c r="L35" s="85">
        <f>508.465+153.557</f>
        <v>662.0219999999999</v>
      </c>
      <c r="M35" s="85">
        <f>26.76+8.081</f>
        <v>34.841</v>
      </c>
      <c r="N35" s="81">
        <f>SUM(O35:R35)</f>
        <v>2170.86</v>
      </c>
      <c r="O35" s="82">
        <v>0</v>
      </c>
      <c r="P35" s="82">
        <v>0</v>
      </c>
      <c r="Q35" s="82">
        <v>0</v>
      </c>
      <c r="R35" s="81">
        <f>SUM(S35:U35)</f>
        <v>2170.86</v>
      </c>
      <c r="S35" s="82">
        <v>0</v>
      </c>
      <c r="T35" s="82">
        <v>2062.31</v>
      </c>
      <c r="U35" s="89">
        <v>108.55</v>
      </c>
      <c r="V35" s="81">
        <f>W35+X35+Y35</f>
        <v>0</v>
      </c>
      <c r="W35" s="82">
        <v>0</v>
      </c>
      <c r="X35" s="82">
        <v>0</v>
      </c>
      <c r="Y35" s="82">
        <v>0</v>
      </c>
      <c r="Z35" s="81">
        <f>AA35+AB35+AC35</f>
        <v>0</v>
      </c>
      <c r="AA35" s="82">
        <v>0</v>
      </c>
      <c r="AB35" s="82">
        <v>0</v>
      </c>
      <c r="AC35" s="82">
        <v>0</v>
      </c>
    </row>
    <row r="36" spans="1:29" ht="39.75" customHeight="1">
      <c r="A36" s="27"/>
      <c r="B36" s="106" t="s">
        <v>62</v>
      </c>
      <c r="C36" s="92" t="s">
        <v>25</v>
      </c>
      <c r="D36" s="81">
        <f>SUM(E36:H36)</f>
        <v>0</v>
      </c>
      <c r="E36" s="82">
        <f t="shared" si="19"/>
        <v>0</v>
      </c>
      <c r="F36" s="83">
        <f t="shared" si="19"/>
        <v>0</v>
      </c>
      <c r="G36" s="83">
        <f t="shared" si="19"/>
        <v>0</v>
      </c>
      <c r="H36" s="83">
        <f>J36+R36</f>
        <v>0</v>
      </c>
      <c r="I36" s="84">
        <f>J36</f>
        <v>0</v>
      </c>
      <c r="J36" s="84">
        <f>SUM(K36:M36)</f>
        <v>0</v>
      </c>
      <c r="K36" s="85">
        <v>0</v>
      </c>
      <c r="L36" s="85">
        <v>0</v>
      </c>
      <c r="M36" s="85">
        <v>0</v>
      </c>
      <c r="N36" s="81">
        <f>SUM(O36:R36)</f>
        <v>0</v>
      </c>
      <c r="O36" s="82">
        <v>0</v>
      </c>
      <c r="P36" s="82">
        <v>0</v>
      </c>
      <c r="Q36" s="82">
        <v>0</v>
      </c>
      <c r="R36" s="81">
        <f>SUM(S36:U36)</f>
        <v>0</v>
      </c>
      <c r="S36" s="82">
        <v>0</v>
      </c>
      <c r="T36" s="82">
        <v>0</v>
      </c>
      <c r="U36" s="82">
        <v>0</v>
      </c>
      <c r="V36" s="81">
        <f>W36+X36+Y36</f>
        <v>0</v>
      </c>
      <c r="W36" s="82">
        <v>0</v>
      </c>
      <c r="X36" s="82">
        <v>0</v>
      </c>
      <c r="Y36" s="82">
        <v>0</v>
      </c>
      <c r="Z36" s="81">
        <f>AA36+AB36+AC36</f>
        <v>0</v>
      </c>
      <c r="AA36" s="82">
        <v>0</v>
      </c>
      <c r="AB36" s="82">
        <v>0</v>
      </c>
      <c r="AC36" s="82">
        <v>0</v>
      </c>
    </row>
    <row r="37" spans="1:29" ht="36.75" customHeight="1">
      <c r="A37" s="27"/>
      <c r="B37" s="106" t="s">
        <v>63</v>
      </c>
      <c r="C37" s="92" t="s">
        <v>25</v>
      </c>
      <c r="D37" s="81">
        <f>SUM(E37:H37)</f>
        <v>0</v>
      </c>
      <c r="E37" s="82">
        <f t="shared" si="19"/>
        <v>0</v>
      </c>
      <c r="F37" s="83">
        <f t="shared" si="19"/>
        <v>0</v>
      </c>
      <c r="G37" s="83">
        <f t="shared" si="19"/>
        <v>0</v>
      </c>
      <c r="H37" s="83">
        <f>J37+R37</f>
        <v>0</v>
      </c>
      <c r="I37" s="84">
        <f>J37</f>
        <v>0</v>
      </c>
      <c r="J37" s="84">
        <f>SUM(K37:M37)</f>
        <v>0</v>
      </c>
      <c r="K37" s="85">
        <v>0</v>
      </c>
      <c r="L37" s="85">
        <v>0</v>
      </c>
      <c r="M37" s="85">
        <v>0</v>
      </c>
      <c r="N37" s="81">
        <f>SUM(O37:R37)</f>
        <v>0</v>
      </c>
      <c r="O37" s="82">
        <v>0</v>
      </c>
      <c r="P37" s="82">
        <v>0</v>
      </c>
      <c r="Q37" s="82">
        <v>0</v>
      </c>
      <c r="R37" s="81">
        <f>SUM(S37:U37)</f>
        <v>0</v>
      </c>
      <c r="S37" s="82">
        <v>0</v>
      </c>
      <c r="T37" s="82">
        <v>0</v>
      </c>
      <c r="U37" s="82">
        <v>0</v>
      </c>
      <c r="V37" s="81">
        <f>W37+X37+Y37</f>
        <v>0</v>
      </c>
      <c r="W37" s="82">
        <v>0</v>
      </c>
      <c r="X37" s="82">
        <v>0</v>
      </c>
      <c r="Y37" s="82">
        <v>0</v>
      </c>
      <c r="Z37" s="81">
        <f>AA37+AB37+AC37</f>
        <v>0</v>
      </c>
      <c r="AA37" s="82">
        <v>0</v>
      </c>
      <c r="AB37" s="82">
        <v>0</v>
      </c>
      <c r="AC37" s="82">
        <v>0</v>
      </c>
    </row>
    <row r="38" spans="1:29" ht="58.5" customHeight="1">
      <c r="A38" s="27" t="s">
        <v>13</v>
      </c>
      <c r="B38" s="107" t="s">
        <v>48</v>
      </c>
      <c r="C38" s="92" t="s">
        <v>25</v>
      </c>
      <c r="D38" s="81">
        <f>SUM(E38:H38)</f>
        <v>126.8107</v>
      </c>
      <c r="E38" s="82">
        <f t="shared" si="19"/>
        <v>0</v>
      </c>
      <c r="F38" s="83">
        <f t="shared" si="19"/>
        <v>0</v>
      </c>
      <c r="G38" s="83">
        <f t="shared" si="19"/>
        <v>0</v>
      </c>
      <c r="H38" s="83">
        <f>J38+R38</f>
        <v>126.8107</v>
      </c>
      <c r="I38" s="84">
        <f>J38</f>
        <v>26.8107</v>
      </c>
      <c r="J38" s="84">
        <f>SUM(K38:M38)</f>
        <v>26.8107</v>
      </c>
      <c r="K38" s="85">
        <v>0</v>
      </c>
      <c r="L38" s="85">
        <v>0</v>
      </c>
      <c r="M38" s="85">
        <f>30-3.1893</f>
        <v>26.8107</v>
      </c>
      <c r="N38" s="81">
        <f>SUM(O38:R38)</f>
        <v>100</v>
      </c>
      <c r="O38" s="82">
        <v>0</v>
      </c>
      <c r="P38" s="82">
        <v>0</v>
      </c>
      <c r="Q38" s="82">
        <v>0</v>
      </c>
      <c r="R38" s="81">
        <f>SUM(S38:U38)</f>
        <v>100</v>
      </c>
      <c r="S38" s="82">
        <v>0</v>
      </c>
      <c r="T38" s="82">
        <v>0</v>
      </c>
      <c r="U38" s="82">
        <v>100</v>
      </c>
      <c r="V38" s="81">
        <f>W38+X38+Y38</f>
        <v>0</v>
      </c>
      <c r="W38" s="82">
        <v>0</v>
      </c>
      <c r="X38" s="82">
        <v>0</v>
      </c>
      <c r="Y38" s="82">
        <v>0</v>
      </c>
      <c r="Z38" s="81">
        <f>AA38+AB38+AC38</f>
        <v>0</v>
      </c>
      <c r="AA38" s="82">
        <v>0</v>
      </c>
      <c r="AB38" s="82">
        <v>0</v>
      </c>
      <c r="AC38" s="82">
        <v>0</v>
      </c>
    </row>
    <row r="39" spans="1:29" ht="51.75" customHeight="1">
      <c r="A39" s="36"/>
      <c r="B39" s="98" t="s">
        <v>113</v>
      </c>
      <c r="C39" s="93"/>
      <c r="D39" s="76">
        <f>D40</f>
        <v>7746.811000000001</v>
      </c>
      <c r="E39" s="76">
        <f aca="true" t="shared" si="20" ref="E39:AC39">E40</f>
        <v>0</v>
      </c>
      <c r="F39" s="76">
        <f t="shared" si="20"/>
        <v>0</v>
      </c>
      <c r="G39" s="76">
        <f t="shared" si="20"/>
        <v>0</v>
      </c>
      <c r="H39" s="76">
        <f t="shared" si="20"/>
        <v>7746.811000000001</v>
      </c>
      <c r="I39" s="76">
        <f t="shared" si="20"/>
        <v>130</v>
      </c>
      <c r="J39" s="76">
        <f t="shared" si="7"/>
        <v>130</v>
      </c>
      <c r="K39" s="76">
        <f t="shared" si="20"/>
        <v>0</v>
      </c>
      <c r="L39" s="76">
        <f t="shared" si="20"/>
        <v>0</v>
      </c>
      <c r="M39" s="76">
        <f t="shared" si="20"/>
        <v>130</v>
      </c>
      <c r="N39" s="76">
        <f>N40</f>
        <v>7616.811000000001</v>
      </c>
      <c r="O39" s="76">
        <f>O40</f>
        <v>0</v>
      </c>
      <c r="P39" s="76">
        <f>P40</f>
        <v>0</v>
      </c>
      <c r="Q39" s="76">
        <f>Q40</f>
        <v>0</v>
      </c>
      <c r="R39" s="76">
        <f>R40</f>
        <v>7616.811000000001</v>
      </c>
      <c r="S39" s="76">
        <f t="shared" si="20"/>
        <v>0</v>
      </c>
      <c r="T39" s="76">
        <f t="shared" si="20"/>
        <v>6950.97</v>
      </c>
      <c r="U39" s="76">
        <f>U40</f>
        <v>665.841</v>
      </c>
      <c r="V39" s="76">
        <f t="shared" si="20"/>
        <v>0</v>
      </c>
      <c r="W39" s="76">
        <f t="shared" si="20"/>
        <v>0</v>
      </c>
      <c r="X39" s="76">
        <f t="shared" si="20"/>
        <v>0</v>
      </c>
      <c r="Y39" s="76">
        <f t="shared" si="20"/>
        <v>0</v>
      </c>
      <c r="Z39" s="76">
        <f t="shared" si="20"/>
        <v>0</v>
      </c>
      <c r="AA39" s="76">
        <f t="shared" si="20"/>
        <v>0</v>
      </c>
      <c r="AB39" s="76">
        <f t="shared" si="20"/>
        <v>0</v>
      </c>
      <c r="AC39" s="76">
        <f t="shared" si="20"/>
        <v>0</v>
      </c>
    </row>
    <row r="40" spans="1:29" ht="38.25" customHeight="1">
      <c r="A40" s="37"/>
      <c r="B40" s="110" t="s">
        <v>79</v>
      </c>
      <c r="C40" s="90"/>
      <c r="D40" s="79">
        <f aca="true" t="shared" si="21" ref="D40:Q40">SUM(D41+D42)+D43+D45+D46+D47+D48+D49</f>
        <v>7746.811000000001</v>
      </c>
      <c r="E40" s="79">
        <f t="shared" si="21"/>
        <v>0</v>
      </c>
      <c r="F40" s="79">
        <f t="shared" si="21"/>
        <v>0</v>
      </c>
      <c r="G40" s="79">
        <f t="shared" si="21"/>
        <v>0</v>
      </c>
      <c r="H40" s="79">
        <f t="shared" si="21"/>
        <v>7746.811000000001</v>
      </c>
      <c r="I40" s="79">
        <f t="shared" si="21"/>
        <v>130</v>
      </c>
      <c r="J40" s="79">
        <f t="shared" si="21"/>
        <v>130</v>
      </c>
      <c r="K40" s="79">
        <f t="shared" si="21"/>
        <v>0</v>
      </c>
      <c r="L40" s="79">
        <f t="shared" si="21"/>
        <v>0</v>
      </c>
      <c r="M40" s="79">
        <f t="shared" si="21"/>
        <v>130</v>
      </c>
      <c r="N40" s="79">
        <f t="shared" si="21"/>
        <v>7616.811000000001</v>
      </c>
      <c r="O40" s="79">
        <f t="shared" si="21"/>
        <v>0</v>
      </c>
      <c r="P40" s="79">
        <f t="shared" si="21"/>
        <v>0</v>
      </c>
      <c r="Q40" s="79">
        <f t="shared" si="21"/>
        <v>0</v>
      </c>
      <c r="R40" s="79">
        <f>SUM(R41+R42)+R43+R45+R46+R47+R48+R49</f>
        <v>7616.811000000001</v>
      </c>
      <c r="S40" s="79">
        <f aca="true" t="shared" si="22" ref="S40:AC40">SUM(S41+S42)+S43+S45+S46+S47+S48+S49</f>
        <v>0</v>
      </c>
      <c r="T40" s="79">
        <f t="shared" si="22"/>
        <v>6950.97</v>
      </c>
      <c r="U40" s="79">
        <f t="shared" si="22"/>
        <v>665.841</v>
      </c>
      <c r="V40" s="79">
        <f t="shared" si="22"/>
        <v>0</v>
      </c>
      <c r="W40" s="79">
        <f t="shared" si="22"/>
        <v>0</v>
      </c>
      <c r="X40" s="79">
        <f t="shared" si="22"/>
        <v>0</v>
      </c>
      <c r="Y40" s="79">
        <f t="shared" si="22"/>
        <v>0</v>
      </c>
      <c r="Z40" s="79">
        <f t="shared" si="22"/>
        <v>0</v>
      </c>
      <c r="AA40" s="79">
        <f t="shared" si="22"/>
        <v>0</v>
      </c>
      <c r="AB40" s="79">
        <f t="shared" si="22"/>
        <v>0</v>
      </c>
      <c r="AC40" s="79">
        <f t="shared" si="22"/>
        <v>0</v>
      </c>
    </row>
    <row r="41" spans="1:29" ht="31.5" customHeight="1">
      <c r="A41" s="27" t="s">
        <v>70</v>
      </c>
      <c r="B41" s="111" t="s">
        <v>71</v>
      </c>
      <c r="C41" s="86" t="s">
        <v>23</v>
      </c>
      <c r="D41" s="81">
        <f aca="true" t="shared" si="23" ref="D41:D49">SUM(E41:H41)</f>
        <v>30</v>
      </c>
      <c r="E41" s="82">
        <f>K41+S41+W41</f>
        <v>0</v>
      </c>
      <c r="F41" s="83">
        <f aca="true" t="shared" si="24" ref="F41:G44">X41</f>
        <v>0</v>
      </c>
      <c r="G41" s="83">
        <f t="shared" si="24"/>
        <v>0</v>
      </c>
      <c r="H41" s="83">
        <f aca="true" t="shared" si="25" ref="H41:H49">J41+R41</f>
        <v>30</v>
      </c>
      <c r="I41" s="84">
        <f>J41</f>
        <v>30</v>
      </c>
      <c r="J41" s="84">
        <f aca="true" t="shared" si="26" ref="J41:J49">SUM(K41:M41)</f>
        <v>30</v>
      </c>
      <c r="K41" s="85">
        <v>0</v>
      </c>
      <c r="L41" s="85">
        <v>0</v>
      </c>
      <c r="M41" s="85">
        <v>30</v>
      </c>
      <c r="N41" s="81">
        <f>SUM(O41:R41)</f>
        <v>0</v>
      </c>
      <c r="O41" s="82">
        <v>0</v>
      </c>
      <c r="P41" s="82">
        <v>0</v>
      </c>
      <c r="Q41" s="82">
        <v>0</v>
      </c>
      <c r="R41" s="81">
        <f aca="true" t="shared" si="27" ref="R41:R49">SUM(S41:U41)</f>
        <v>0</v>
      </c>
      <c r="S41" s="82">
        <v>0</v>
      </c>
      <c r="T41" s="82">
        <v>0</v>
      </c>
      <c r="U41" s="82">
        <v>0</v>
      </c>
      <c r="V41" s="81">
        <f>W41+X41+Y41</f>
        <v>0</v>
      </c>
      <c r="W41" s="82">
        <v>0</v>
      </c>
      <c r="X41" s="82">
        <v>0</v>
      </c>
      <c r="Y41" s="82">
        <v>0</v>
      </c>
      <c r="Z41" s="81">
        <f>AA41+AB41+AC41</f>
        <v>0</v>
      </c>
      <c r="AA41" s="82">
        <v>0</v>
      </c>
      <c r="AB41" s="82">
        <v>0</v>
      </c>
      <c r="AC41" s="82">
        <v>0</v>
      </c>
    </row>
    <row r="42" spans="1:64" s="4" customFormat="1" ht="31.5" customHeight="1">
      <c r="A42" s="27" t="s">
        <v>72</v>
      </c>
      <c r="B42" s="112" t="s">
        <v>73</v>
      </c>
      <c r="C42" s="92" t="s">
        <v>25</v>
      </c>
      <c r="D42" s="81">
        <f t="shared" si="23"/>
        <v>100</v>
      </c>
      <c r="E42" s="82">
        <f>K42+S42+W42</f>
        <v>0</v>
      </c>
      <c r="F42" s="83">
        <f t="shared" si="24"/>
        <v>0</v>
      </c>
      <c r="G42" s="83">
        <f t="shared" si="24"/>
        <v>0</v>
      </c>
      <c r="H42" s="83">
        <f t="shared" si="25"/>
        <v>100</v>
      </c>
      <c r="I42" s="84">
        <f>J42</f>
        <v>100</v>
      </c>
      <c r="J42" s="84">
        <f t="shared" si="26"/>
        <v>100</v>
      </c>
      <c r="K42" s="85">
        <v>0</v>
      </c>
      <c r="L42" s="85">
        <v>0</v>
      </c>
      <c r="M42" s="85">
        <v>100</v>
      </c>
      <c r="N42" s="81">
        <f>SUM(O42:R42)</f>
        <v>0</v>
      </c>
      <c r="O42" s="82">
        <v>0</v>
      </c>
      <c r="P42" s="82">
        <v>0</v>
      </c>
      <c r="Q42" s="82">
        <v>0</v>
      </c>
      <c r="R42" s="81">
        <f t="shared" si="27"/>
        <v>0</v>
      </c>
      <c r="S42" s="82">
        <v>0</v>
      </c>
      <c r="T42" s="82">
        <v>0</v>
      </c>
      <c r="U42" s="82">
        <v>0</v>
      </c>
      <c r="V42" s="81">
        <f>W42+X42+Y42</f>
        <v>0</v>
      </c>
      <c r="W42" s="82">
        <v>0</v>
      </c>
      <c r="X42" s="82">
        <v>0</v>
      </c>
      <c r="Y42" s="82">
        <v>0</v>
      </c>
      <c r="Z42" s="81">
        <f>AA42+AB42+AC42</f>
        <v>0</v>
      </c>
      <c r="AA42" s="82">
        <v>0</v>
      </c>
      <c r="AB42" s="82">
        <v>0</v>
      </c>
      <c r="AC42" s="82">
        <v>0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29" s="73" customFormat="1" ht="61.5" customHeight="1">
      <c r="A43" s="27" t="s">
        <v>101</v>
      </c>
      <c r="B43" s="113" t="s">
        <v>105</v>
      </c>
      <c r="C43" s="86" t="s">
        <v>23</v>
      </c>
      <c r="D43" s="81">
        <f t="shared" si="23"/>
        <v>7316.811000000001</v>
      </c>
      <c r="E43" s="81">
        <f aca="true" t="shared" si="28" ref="E43:AC43">E44</f>
        <v>0</v>
      </c>
      <c r="F43" s="83">
        <f>X43</f>
        <v>0</v>
      </c>
      <c r="G43" s="83">
        <f t="shared" si="24"/>
        <v>0</v>
      </c>
      <c r="H43" s="83">
        <f t="shared" si="25"/>
        <v>7316.811000000001</v>
      </c>
      <c r="I43" s="84">
        <f>J43</f>
        <v>0</v>
      </c>
      <c r="J43" s="84">
        <f t="shared" si="26"/>
        <v>0</v>
      </c>
      <c r="K43" s="81">
        <f t="shared" si="28"/>
        <v>0</v>
      </c>
      <c r="L43" s="81">
        <f t="shared" si="28"/>
        <v>0</v>
      </c>
      <c r="M43" s="81">
        <f t="shared" si="28"/>
        <v>0</v>
      </c>
      <c r="N43" s="81">
        <f>SUM(O43:R43)</f>
        <v>7316.811000000001</v>
      </c>
      <c r="O43" s="82">
        <v>0</v>
      </c>
      <c r="P43" s="82">
        <v>0</v>
      </c>
      <c r="Q43" s="82">
        <v>0</v>
      </c>
      <c r="R43" s="81">
        <f t="shared" si="27"/>
        <v>7316.811000000001</v>
      </c>
      <c r="S43" s="81">
        <f t="shared" si="28"/>
        <v>0</v>
      </c>
      <c r="T43" s="81">
        <f t="shared" si="28"/>
        <v>6950.97</v>
      </c>
      <c r="U43" s="81">
        <f t="shared" si="28"/>
        <v>365.841</v>
      </c>
      <c r="V43" s="81">
        <f t="shared" si="28"/>
        <v>0</v>
      </c>
      <c r="W43" s="81">
        <f t="shared" si="28"/>
        <v>0</v>
      </c>
      <c r="X43" s="81">
        <f t="shared" si="28"/>
        <v>0</v>
      </c>
      <c r="Y43" s="81">
        <f t="shared" si="28"/>
        <v>0</v>
      </c>
      <c r="Z43" s="81">
        <f t="shared" si="28"/>
        <v>0</v>
      </c>
      <c r="AA43" s="81">
        <f t="shared" si="28"/>
        <v>0</v>
      </c>
      <c r="AB43" s="81">
        <f t="shared" si="28"/>
        <v>0</v>
      </c>
      <c r="AC43" s="81">
        <f t="shared" si="28"/>
        <v>0</v>
      </c>
    </row>
    <row r="44" spans="1:29" s="73" customFormat="1" ht="47.25" customHeight="1">
      <c r="A44" s="27"/>
      <c r="B44" s="113" t="s">
        <v>104</v>
      </c>
      <c r="C44" s="86" t="s">
        <v>23</v>
      </c>
      <c r="D44" s="81">
        <f t="shared" si="23"/>
        <v>7316.811000000001</v>
      </c>
      <c r="E44" s="94">
        <v>0</v>
      </c>
      <c r="F44" s="83">
        <f>X44</f>
        <v>0</v>
      </c>
      <c r="G44" s="83">
        <f t="shared" si="24"/>
        <v>0</v>
      </c>
      <c r="H44" s="83">
        <f t="shared" si="25"/>
        <v>7316.811000000001</v>
      </c>
      <c r="I44" s="84">
        <f>J44</f>
        <v>0</v>
      </c>
      <c r="J44" s="84">
        <f t="shared" si="26"/>
        <v>0</v>
      </c>
      <c r="K44" s="72">
        <v>0</v>
      </c>
      <c r="L44" s="72">
        <v>0</v>
      </c>
      <c r="M44" s="72">
        <v>0</v>
      </c>
      <c r="N44" s="81">
        <f>SUM(O44:R44)</f>
        <v>7316.811000000001</v>
      </c>
      <c r="O44" s="82">
        <v>0</v>
      </c>
      <c r="P44" s="82">
        <v>0</v>
      </c>
      <c r="Q44" s="82">
        <v>0</v>
      </c>
      <c r="R44" s="81">
        <f t="shared" si="27"/>
        <v>7316.811000000001</v>
      </c>
      <c r="S44" s="72">
        <v>0</v>
      </c>
      <c r="T44" s="72">
        <v>6950.97</v>
      </c>
      <c r="U44" s="72">
        <v>365.841</v>
      </c>
      <c r="V44" s="81">
        <f aca="true" t="shared" si="29" ref="V44:V49">W44+X44+Y44</f>
        <v>0</v>
      </c>
      <c r="W44" s="72">
        <v>0</v>
      </c>
      <c r="X44" s="72">
        <v>0</v>
      </c>
      <c r="Y44" s="72">
        <v>0</v>
      </c>
      <c r="Z44" s="81">
        <f aca="true" t="shared" si="30" ref="Z44:Z49">AA44+AB44+AC44</f>
        <v>0</v>
      </c>
      <c r="AA44" s="72">
        <v>0</v>
      </c>
      <c r="AB44" s="72">
        <v>0</v>
      </c>
      <c r="AC44" s="72">
        <v>0</v>
      </c>
    </row>
    <row r="45" spans="1:29" s="73" customFormat="1" ht="39.75" customHeight="1">
      <c r="A45" s="27" t="s">
        <v>108</v>
      </c>
      <c r="B45" s="113" t="s">
        <v>123</v>
      </c>
      <c r="C45" s="86" t="s">
        <v>23</v>
      </c>
      <c r="D45" s="81">
        <f t="shared" si="23"/>
        <v>100</v>
      </c>
      <c r="E45" s="94">
        <v>0</v>
      </c>
      <c r="F45" s="94">
        <v>0</v>
      </c>
      <c r="G45" s="94">
        <f>Y45+AC45</f>
        <v>0</v>
      </c>
      <c r="H45" s="83">
        <f t="shared" si="25"/>
        <v>100</v>
      </c>
      <c r="I45" s="84">
        <f>K45+L45+M45</f>
        <v>0</v>
      </c>
      <c r="J45" s="84">
        <f t="shared" si="26"/>
        <v>0</v>
      </c>
      <c r="K45" s="72">
        <v>0</v>
      </c>
      <c r="L45" s="72">
        <v>0</v>
      </c>
      <c r="M45" s="72">
        <v>0</v>
      </c>
      <c r="N45" s="81">
        <f>SUM(O45:R45)</f>
        <v>100</v>
      </c>
      <c r="O45" s="82">
        <v>0</v>
      </c>
      <c r="P45" s="82">
        <v>0</v>
      </c>
      <c r="Q45" s="82">
        <v>0</v>
      </c>
      <c r="R45" s="81">
        <f t="shared" si="27"/>
        <v>100</v>
      </c>
      <c r="S45" s="82">
        <v>0</v>
      </c>
      <c r="T45" s="82">
        <v>0</v>
      </c>
      <c r="U45" s="89">
        <v>100</v>
      </c>
      <c r="V45" s="81">
        <f t="shared" si="29"/>
        <v>0</v>
      </c>
      <c r="W45" s="82">
        <v>0</v>
      </c>
      <c r="X45" s="82">
        <v>0</v>
      </c>
      <c r="Y45" s="82">
        <v>0</v>
      </c>
      <c r="Z45" s="81">
        <f t="shared" si="30"/>
        <v>0</v>
      </c>
      <c r="AA45" s="82">
        <v>0</v>
      </c>
      <c r="AB45" s="82">
        <v>0</v>
      </c>
      <c r="AC45" s="82">
        <v>0</v>
      </c>
    </row>
    <row r="46" spans="1:29" s="73" customFormat="1" ht="39.75" customHeight="1">
      <c r="A46" s="27" t="s">
        <v>127</v>
      </c>
      <c r="B46" s="147" t="s">
        <v>136</v>
      </c>
      <c r="C46" s="86" t="s">
        <v>23</v>
      </c>
      <c r="D46" s="81">
        <f t="shared" si="23"/>
        <v>50</v>
      </c>
      <c r="E46" s="94">
        <v>0</v>
      </c>
      <c r="F46" s="94">
        <v>0</v>
      </c>
      <c r="G46" s="94">
        <f>Y46+AC46</f>
        <v>0</v>
      </c>
      <c r="H46" s="83">
        <f t="shared" si="25"/>
        <v>50</v>
      </c>
      <c r="I46" s="84">
        <f>K46+L46+M46</f>
        <v>0</v>
      </c>
      <c r="J46" s="84">
        <f t="shared" si="26"/>
        <v>0</v>
      </c>
      <c r="K46" s="72">
        <v>0</v>
      </c>
      <c r="L46" s="72">
        <v>0</v>
      </c>
      <c r="M46" s="72">
        <v>0</v>
      </c>
      <c r="N46" s="81">
        <f>S46+T46+U46</f>
        <v>50</v>
      </c>
      <c r="O46" s="82">
        <v>0</v>
      </c>
      <c r="P46" s="82">
        <v>0</v>
      </c>
      <c r="Q46" s="82">
        <v>0</v>
      </c>
      <c r="R46" s="81">
        <f t="shared" si="27"/>
        <v>50</v>
      </c>
      <c r="S46" s="82">
        <v>0</v>
      </c>
      <c r="T46" s="82">
        <v>0</v>
      </c>
      <c r="U46" s="89">
        <v>50</v>
      </c>
      <c r="V46" s="81">
        <f t="shared" si="29"/>
        <v>0</v>
      </c>
      <c r="W46" s="82">
        <v>0</v>
      </c>
      <c r="X46" s="82">
        <v>0</v>
      </c>
      <c r="Y46" s="82">
        <v>0</v>
      </c>
      <c r="Z46" s="81">
        <f t="shared" si="30"/>
        <v>0</v>
      </c>
      <c r="AA46" s="82">
        <v>0</v>
      </c>
      <c r="AB46" s="82">
        <v>0</v>
      </c>
      <c r="AC46" s="82">
        <v>0</v>
      </c>
    </row>
    <row r="47" spans="1:29" s="73" customFormat="1" ht="39.75" customHeight="1">
      <c r="A47" s="27" t="s">
        <v>128</v>
      </c>
      <c r="B47" s="113" t="s">
        <v>131</v>
      </c>
      <c r="C47" s="86" t="s">
        <v>23</v>
      </c>
      <c r="D47" s="81">
        <f t="shared" si="23"/>
        <v>20</v>
      </c>
      <c r="E47" s="94">
        <v>0</v>
      </c>
      <c r="F47" s="94">
        <v>0</v>
      </c>
      <c r="G47" s="94">
        <f>Y47+AC47</f>
        <v>0</v>
      </c>
      <c r="H47" s="83">
        <f t="shared" si="25"/>
        <v>20</v>
      </c>
      <c r="I47" s="84">
        <f>K47+L47+M47</f>
        <v>0</v>
      </c>
      <c r="J47" s="84">
        <f t="shared" si="26"/>
        <v>0</v>
      </c>
      <c r="K47" s="72">
        <v>0</v>
      </c>
      <c r="L47" s="72">
        <v>0</v>
      </c>
      <c r="M47" s="72">
        <v>0</v>
      </c>
      <c r="N47" s="81">
        <f>S47+T47+U47</f>
        <v>20</v>
      </c>
      <c r="O47" s="82">
        <v>0</v>
      </c>
      <c r="P47" s="82">
        <v>0</v>
      </c>
      <c r="Q47" s="82">
        <v>0</v>
      </c>
      <c r="R47" s="81">
        <f t="shared" si="27"/>
        <v>20</v>
      </c>
      <c r="S47" s="82">
        <v>0</v>
      </c>
      <c r="T47" s="82">
        <v>0</v>
      </c>
      <c r="U47" s="89">
        <v>20</v>
      </c>
      <c r="V47" s="81">
        <f t="shared" si="29"/>
        <v>0</v>
      </c>
      <c r="W47" s="82">
        <v>0</v>
      </c>
      <c r="X47" s="82">
        <v>0</v>
      </c>
      <c r="Y47" s="82">
        <v>0</v>
      </c>
      <c r="Z47" s="81">
        <f t="shared" si="30"/>
        <v>0</v>
      </c>
      <c r="AA47" s="82">
        <v>0</v>
      </c>
      <c r="AB47" s="82">
        <v>0</v>
      </c>
      <c r="AC47" s="82">
        <v>0</v>
      </c>
    </row>
    <row r="48" spans="1:29" s="73" customFormat="1" ht="39.75" customHeight="1">
      <c r="A48" s="27" t="s">
        <v>129</v>
      </c>
      <c r="B48" s="113" t="s">
        <v>132</v>
      </c>
      <c r="C48" s="86" t="s">
        <v>23</v>
      </c>
      <c r="D48" s="81">
        <f t="shared" si="23"/>
        <v>20</v>
      </c>
      <c r="E48" s="94">
        <v>0</v>
      </c>
      <c r="F48" s="94">
        <v>0</v>
      </c>
      <c r="G48" s="94">
        <f>Y48+AC48</f>
        <v>0</v>
      </c>
      <c r="H48" s="83">
        <f t="shared" si="25"/>
        <v>20</v>
      </c>
      <c r="I48" s="84">
        <f>K48+L48+M48</f>
        <v>0</v>
      </c>
      <c r="J48" s="84">
        <f t="shared" si="26"/>
        <v>0</v>
      </c>
      <c r="K48" s="72">
        <v>0</v>
      </c>
      <c r="L48" s="72">
        <v>0</v>
      </c>
      <c r="M48" s="72">
        <v>0</v>
      </c>
      <c r="N48" s="81">
        <f>S48+T48+U48</f>
        <v>20</v>
      </c>
      <c r="O48" s="82">
        <v>0</v>
      </c>
      <c r="P48" s="82">
        <v>0</v>
      </c>
      <c r="Q48" s="82">
        <v>0</v>
      </c>
      <c r="R48" s="81">
        <f t="shared" si="27"/>
        <v>20</v>
      </c>
      <c r="S48" s="82">
        <v>0</v>
      </c>
      <c r="T48" s="82">
        <v>0</v>
      </c>
      <c r="U48" s="89">
        <v>20</v>
      </c>
      <c r="V48" s="81">
        <f t="shared" si="29"/>
        <v>0</v>
      </c>
      <c r="W48" s="82">
        <v>0</v>
      </c>
      <c r="X48" s="82">
        <v>0</v>
      </c>
      <c r="Y48" s="82">
        <v>0</v>
      </c>
      <c r="Z48" s="81">
        <f t="shared" si="30"/>
        <v>0</v>
      </c>
      <c r="AA48" s="82">
        <v>0</v>
      </c>
      <c r="AB48" s="82">
        <v>0</v>
      </c>
      <c r="AC48" s="82">
        <v>0</v>
      </c>
    </row>
    <row r="49" spans="1:29" s="73" customFormat="1" ht="39.75" customHeight="1">
      <c r="A49" s="27" t="s">
        <v>130</v>
      </c>
      <c r="B49" s="113" t="s">
        <v>133</v>
      </c>
      <c r="C49" s="86" t="s">
        <v>23</v>
      </c>
      <c r="D49" s="81">
        <f t="shared" si="23"/>
        <v>110</v>
      </c>
      <c r="E49" s="94">
        <v>0</v>
      </c>
      <c r="F49" s="94">
        <v>0</v>
      </c>
      <c r="G49" s="94">
        <f>Y49+AC49</f>
        <v>0</v>
      </c>
      <c r="H49" s="83">
        <f t="shared" si="25"/>
        <v>110</v>
      </c>
      <c r="I49" s="84">
        <f>K49+L49+M49</f>
        <v>0</v>
      </c>
      <c r="J49" s="84">
        <f t="shared" si="26"/>
        <v>0</v>
      </c>
      <c r="K49" s="72">
        <v>0</v>
      </c>
      <c r="L49" s="72">
        <v>0</v>
      </c>
      <c r="M49" s="72">
        <v>0</v>
      </c>
      <c r="N49" s="81">
        <f>S49+T49+U49</f>
        <v>110</v>
      </c>
      <c r="O49" s="82">
        <v>0</v>
      </c>
      <c r="P49" s="82">
        <v>0</v>
      </c>
      <c r="Q49" s="82">
        <v>0</v>
      </c>
      <c r="R49" s="81">
        <f t="shared" si="27"/>
        <v>110</v>
      </c>
      <c r="S49" s="82">
        <v>0</v>
      </c>
      <c r="T49" s="82">
        <v>0</v>
      </c>
      <c r="U49" s="89">
        <v>110</v>
      </c>
      <c r="V49" s="81">
        <f t="shared" si="29"/>
        <v>0</v>
      </c>
      <c r="W49" s="82">
        <v>0</v>
      </c>
      <c r="X49" s="82">
        <v>0</v>
      </c>
      <c r="Y49" s="82">
        <v>0</v>
      </c>
      <c r="Z49" s="81">
        <f t="shared" si="30"/>
        <v>0</v>
      </c>
      <c r="AA49" s="82">
        <v>0</v>
      </c>
      <c r="AB49" s="82">
        <v>0</v>
      </c>
      <c r="AC49" s="82">
        <v>0</v>
      </c>
    </row>
    <row r="50" spans="1:64" ht="73.5" customHeight="1">
      <c r="A50" s="24"/>
      <c r="B50" s="98" t="s">
        <v>114</v>
      </c>
      <c r="C50" s="25"/>
      <c r="D50" s="76">
        <f>D51</f>
        <v>4518.799999999999</v>
      </c>
      <c r="E50" s="76">
        <f aca="true" t="shared" si="31" ref="E50:AC50">E51</f>
        <v>0</v>
      </c>
      <c r="F50" s="76">
        <f t="shared" si="31"/>
        <v>1417.1999999999998</v>
      </c>
      <c r="G50" s="76">
        <f>G51</f>
        <v>3101.6</v>
      </c>
      <c r="H50" s="76">
        <f>H51</f>
        <v>0</v>
      </c>
      <c r="I50" s="76">
        <f t="shared" si="31"/>
        <v>0</v>
      </c>
      <c r="J50" s="76">
        <f t="shared" si="7"/>
        <v>0</v>
      </c>
      <c r="K50" s="76">
        <f t="shared" si="31"/>
        <v>0</v>
      </c>
      <c r="L50" s="76">
        <f t="shared" si="31"/>
        <v>0</v>
      </c>
      <c r="M50" s="76">
        <f t="shared" si="31"/>
        <v>0</v>
      </c>
      <c r="N50" s="76">
        <f t="shared" si="31"/>
        <v>1450.4</v>
      </c>
      <c r="O50" s="76">
        <f t="shared" si="31"/>
        <v>0</v>
      </c>
      <c r="P50" s="76">
        <f t="shared" si="31"/>
        <v>472.4</v>
      </c>
      <c r="Q50" s="76">
        <f t="shared" si="31"/>
        <v>978</v>
      </c>
      <c r="R50" s="76">
        <f t="shared" si="31"/>
        <v>0</v>
      </c>
      <c r="S50" s="76">
        <f t="shared" si="31"/>
        <v>0</v>
      </c>
      <c r="T50" s="76">
        <f t="shared" si="31"/>
        <v>0</v>
      </c>
      <c r="U50" s="76">
        <f t="shared" si="31"/>
        <v>0</v>
      </c>
      <c r="V50" s="76">
        <f t="shared" si="31"/>
        <v>1500</v>
      </c>
      <c r="W50" s="76">
        <f t="shared" si="31"/>
        <v>0</v>
      </c>
      <c r="X50" s="76">
        <f t="shared" si="31"/>
        <v>472.4</v>
      </c>
      <c r="Y50" s="76">
        <f t="shared" si="31"/>
        <v>1027.6</v>
      </c>
      <c r="Z50" s="76">
        <f t="shared" si="31"/>
        <v>1568.4</v>
      </c>
      <c r="AA50" s="76">
        <f t="shared" si="31"/>
        <v>0</v>
      </c>
      <c r="AB50" s="76">
        <f t="shared" si="31"/>
        <v>472.4</v>
      </c>
      <c r="AC50" s="76">
        <f t="shared" si="31"/>
        <v>1096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8" customFormat="1" ht="82.5" customHeight="1">
      <c r="A51" s="26" t="s">
        <v>81</v>
      </c>
      <c r="B51" s="102" t="s">
        <v>80</v>
      </c>
      <c r="C51" s="87"/>
      <c r="D51" s="88">
        <f aca="true" t="shared" si="32" ref="D51:Y51">D52+D56+D57</f>
        <v>4518.799999999999</v>
      </c>
      <c r="E51" s="88">
        <f t="shared" si="32"/>
        <v>0</v>
      </c>
      <c r="F51" s="88">
        <f t="shared" si="32"/>
        <v>1417.1999999999998</v>
      </c>
      <c r="G51" s="88">
        <f>G52+G56+G57</f>
        <v>3101.6</v>
      </c>
      <c r="H51" s="88">
        <f>H52+H56+H57</f>
        <v>0</v>
      </c>
      <c r="I51" s="88">
        <f t="shared" si="32"/>
        <v>0</v>
      </c>
      <c r="J51" s="79">
        <f t="shared" si="7"/>
        <v>0</v>
      </c>
      <c r="K51" s="88">
        <f t="shared" si="32"/>
        <v>0</v>
      </c>
      <c r="L51" s="88">
        <f t="shared" si="32"/>
        <v>0</v>
      </c>
      <c r="M51" s="88">
        <f t="shared" si="32"/>
        <v>0</v>
      </c>
      <c r="N51" s="88">
        <f t="shared" si="32"/>
        <v>1450.4</v>
      </c>
      <c r="O51" s="88">
        <f t="shared" si="32"/>
        <v>0</v>
      </c>
      <c r="P51" s="88">
        <f t="shared" si="32"/>
        <v>472.4</v>
      </c>
      <c r="Q51" s="88">
        <f t="shared" si="32"/>
        <v>978</v>
      </c>
      <c r="R51" s="88">
        <f t="shared" si="32"/>
        <v>0</v>
      </c>
      <c r="S51" s="88">
        <f t="shared" si="32"/>
        <v>0</v>
      </c>
      <c r="T51" s="88">
        <f>T52+T56+T57</f>
        <v>0</v>
      </c>
      <c r="U51" s="88">
        <f t="shared" si="32"/>
        <v>0</v>
      </c>
      <c r="V51" s="88">
        <f t="shared" si="32"/>
        <v>1500</v>
      </c>
      <c r="W51" s="88">
        <f t="shared" si="32"/>
        <v>0</v>
      </c>
      <c r="X51" s="88">
        <f t="shared" si="32"/>
        <v>472.4</v>
      </c>
      <c r="Y51" s="88">
        <f t="shared" si="32"/>
        <v>1027.6</v>
      </c>
      <c r="Z51" s="88">
        <f>Z52+Z56+Z57</f>
        <v>1568.4</v>
      </c>
      <c r="AA51" s="88">
        <f>AA52+AA56+AA57</f>
        <v>0</v>
      </c>
      <c r="AB51" s="88">
        <f>AB52+AB56+AB57</f>
        <v>472.4</v>
      </c>
      <c r="AC51" s="88">
        <f>AC52+AC56+AC57</f>
        <v>1096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29" s="12" customFormat="1" ht="75.75" customHeight="1">
      <c r="A52" s="27" t="s">
        <v>82</v>
      </c>
      <c r="B52" s="101" t="s">
        <v>85</v>
      </c>
      <c r="C52" s="86" t="s">
        <v>23</v>
      </c>
      <c r="D52" s="81">
        <f aca="true" t="shared" si="33" ref="D52:D57">E52+F52+G52</f>
        <v>4518.799999999999</v>
      </c>
      <c r="E52" s="82">
        <f aca="true" t="shared" si="34" ref="E52:E57">K52+S52+W52</f>
        <v>0</v>
      </c>
      <c r="F52" s="83">
        <f aca="true" t="shared" si="35" ref="F52:G57">L52+P52+X52+AB52</f>
        <v>1417.1999999999998</v>
      </c>
      <c r="G52" s="83">
        <f t="shared" si="35"/>
        <v>3101.6</v>
      </c>
      <c r="H52" s="83">
        <f aca="true" t="shared" si="36" ref="H52:H57">J52+R52</f>
        <v>0</v>
      </c>
      <c r="I52" s="84">
        <f aca="true" t="shared" si="37" ref="I52:I57">K52+L52+M52</f>
        <v>0</v>
      </c>
      <c r="J52" s="84">
        <f t="shared" si="7"/>
        <v>0</v>
      </c>
      <c r="K52" s="85">
        <v>0</v>
      </c>
      <c r="L52" s="85">
        <v>0</v>
      </c>
      <c r="M52" s="89">
        <v>0</v>
      </c>
      <c r="N52" s="81">
        <f aca="true" t="shared" si="38" ref="N52:N57">SUM(O52:R52)</f>
        <v>1450.4</v>
      </c>
      <c r="O52" s="82">
        <v>0</v>
      </c>
      <c r="P52" s="82">
        <v>472.4</v>
      </c>
      <c r="Q52" s="82">
        <f>388.85+24.9+564.25</f>
        <v>978</v>
      </c>
      <c r="R52" s="81">
        <f aca="true" t="shared" si="39" ref="R52:R57">SUM(S52:U52)</f>
        <v>0</v>
      </c>
      <c r="S52" s="82">
        <v>0</v>
      </c>
      <c r="T52" s="82">
        <v>0</v>
      </c>
      <c r="U52" s="82">
        <v>0</v>
      </c>
      <c r="V52" s="81">
        <f aca="true" t="shared" si="40" ref="V52:V57">W52+X52+Y52</f>
        <v>1500</v>
      </c>
      <c r="W52" s="82">
        <v>0</v>
      </c>
      <c r="X52" s="82">
        <v>472.4</v>
      </c>
      <c r="Y52" s="82">
        <f>425.95+24.9+576.75</f>
        <v>1027.6</v>
      </c>
      <c r="Z52" s="81">
        <f aca="true" t="shared" si="41" ref="Z52:Z57">AA52+AB52+AC52</f>
        <v>1568.4</v>
      </c>
      <c r="AA52" s="82">
        <v>0</v>
      </c>
      <c r="AB52" s="82">
        <v>472.4</v>
      </c>
      <c r="AC52" s="82">
        <v>1096</v>
      </c>
    </row>
    <row r="53" spans="1:29" s="12" customFormat="1" ht="31.5" customHeight="1">
      <c r="A53" s="27"/>
      <c r="B53" s="106" t="s">
        <v>61</v>
      </c>
      <c r="C53" s="86" t="s">
        <v>23</v>
      </c>
      <c r="D53" s="81">
        <f t="shared" si="33"/>
        <v>1382.85</v>
      </c>
      <c r="E53" s="82">
        <f t="shared" si="34"/>
        <v>0</v>
      </c>
      <c r="F53" s="83">
        <f t="shared" si="35"/>
        <v>1313.6999999999998</v>
      </c>
      <c r="G53" s="83">
        <f t="shared" si="35"/>
        <v>69.15</v>
      </c>
      <c r="H53" s="83">
        <f t="shared" si="36"/>
        <v>0</v>
      </c>
      <c r="I53" s="84">
        <f t="shared" si="37"/>
        <v>0</v>
      </c>
      <c r="J53" s="84">
        <f t="shared" si="7"/>
        <v>0</v>
      </c>
      <c r="K53" s="85">
        <v>0</v>
      </c>
      <c r="L53" s="85">
        <v>0</v>
      </c>
      <c r="M53" s="85">
        <v>0</v>
      </c>
      <c r="N53" s="81">
        <f t="shared" si="38"/>
        <v>460.95</v>
      </c>
      <c r="O53" s="82">
        <v>0</v>
      </c>
      <c r="P53" s="85">
        <v>437.9</v>
      </c>
      <c r="Q53" s="85">
        <v>23.05</v>
      </c>
      <c r="R53" s="81">
        <f t="shared" si="39"/>
        <v>0</v>
      </c>
      <c r="S53" s="82">
        <v>0</v>
      </c>
      <c r="T53" s="85">
        <v>0</v>
      </c>
      <c r="U53" s="85">
        <v>0</v>
      </c>
      <c r="V53" s="81">
        <f t="shared" si="40"/>
        <v>460.95</v>
      </c>
      <c r="W53" s="82">
        <v>0</v>
      </c>
      <c r="X53" s="85">
        <v>437.9</v>
      </c>
      <c r="Y53" s="85">
        <v>23.05</v>
      </c>
      <c r="Z53" s="81">
        <f t="shared" si="41"/>
        <v>460.95</v>
      </c>
      <c r="AA53" s="82">
        <v>0</v>
      </c>
      <c r="AB53" s="85">
        <v>437.9</v>
      </c>
      <c r="AC53" s="85">
        <v>23.05</v>
      </c>
    </row>
    <row r="54" spans="1:29" s="12" customFormat="1" ht="32.25" customHeight="1">
      <c r="A54" s="27"/>
      <c r="B54" s="106" t="s">
        <v>62</v>
      </c>
      <c r="C54" s="86" t="s">
        <v>23</v>
      </c>
      <c r="D54" s="81">
        <f t="shared" si="33"/>
        <v>109.05</v>
      </c>
      <c r="E54" s="82">
        <f t="shared" si="34"/>
        <v>0</v>
      </c>
      <c r="F54" s="83">
        <f t="shared" si="35"/>
        <v>103.5</v>
      </c>
      <c r="G54" s="83">
        <f t="shared" si="35"/>
        <v>5.550000000000001</v>
      </c>
      <c r="H54" s="83">
        <f t="shared" si="36"/>
        <v>0</v>
      </c>
      <c r="I54" s="84">
        <f t="shared" si="37"/>
        <v>0</v>
      </c>
      <c r="J54" s="84">
        <f t="shared" si="7"/>
        <v>0</v>
      </c>
      <c r="K54" s="85">
        <v>0</v>
      </c>
      <c r="L54" s="85">
        <v>0</v>
      </c>
      <c r="M54" s="85">
        <v>0</v>
      </c>
      <c r="N54" s="81">
        <f t="shared" si="38"/>
        <v>36.35</v>
      </c>
      <c r="O54" s="82">
        <v>0</v>
      </c>
      <c r="P54" s="82">
        <v>34.5</v>
      </c>
      <c r="Q54" s="82">
        <v>1.85</v>
      </c>
      <c r="R54" s="81">
        <f t="shared" si="39"/>
        <v>0</v>
      </c>
      <c r="S54" s="82">
        <v>0</v>
      </c>
      <c r="T54" s="82">
        <v>0</v>
      </c>
      <c r="U54" s="82">
        <v>0</v>
      </c>
      <c r="V54" s="81">
        <f t="shared" si="40"/>
        <v>36.35</v>
      </c>
      <c r="W54" s="82">
        <v>0</v>
      </c>
      <c r="X54" s="82">
        <v>34.5</v>
      </c>
      <c r="Y54" s="82">
        <v>1.85</v>
      </c>
      <c r="Z54" s="81">
        <f t="shared" si="41"/>
        <v>36.35</v>
      </c>
      <c r="AA54" s="82">
        <v>0</v>
      </c>
      <c r="AB54" s="82">
        <v>34.5</v>
      </c>
      <c r="AC54" s="82">
        <v>1.85</v>
      </c>
    </row>
    <row r="55" spans="1:29" s="12" customFormat="1" ht="32.25" customHeight="1">
      <c r="A55" s="27"/>
      <c r="B55" s="106" t="s">
        <v>63</v>
      </c>
      <c r="C55" s="86" t="s">
        <v>23</v>
      </c>
      <c r="D55" s="81">
        <f t="shared" si="33"/>
        <v>0</v>
      </c>
      <c r="E55" s="82">
        <f t="shared" si="34"/>
        <v>0</v>
      </c>
      <c r="F55" s="83">
        <f t="shared" si="35"/>
        <v>0</v>
      </c>
      <c r="G55" s="83">
        <f t="shared" si="35"/>
        <v>0</v>
      </c>
      <c r="H55" s="83">
        <f t="shared" si="36"/>
        <v>0</v>
      </c>
      <c r="I55" s="84">
        <f t="shared" si="37"/>
        <v>0</v>
      </c>
      <c r="J55" s="84">
        <f t="shared" si="7"/>
        <v>0</v>
      </c>
      <c r="K55" s="85">
        <v>0</v>
      </c>
      <c r="L55" s="85">
        <v>0</v>
      </c>
      <c r="M55" s="85">
        <v>0</v>
      </c>
      <c r="N55" s="81">
        <f t="shared" si="38"/>
        <v>0</v>
      </c>
      <c r="O55" s="82">
        <v>0</v>
      </c>
      <c r="P55" s="82">
        <v>0</v>
      </c>
      <c r="Q55" s="82">
        <v>0</v>
      </c>
      <c r="R55" s="81">
        <f t="shared" si="39"/>
        <v>0</v>
      </c>
      <c r="S55" s="82">
        <v>0</v>
      </c>
      <c r="T55" s="82">
        <v>0</v>
      </c>
      <c r="U55" s="82">
        <v>0</v>
      </c>
      <c r="V55" s="81">
        <f t="shared" si="40"/>
        <v>0</v>
      </c>
      <c r="W55" s="82">
        <v>0</v>
      </c>
      <c r="X55" s="82">
        <v>0</v>
      </c>
      <c r="Y55" s="82">
        <v>0</v>
      </c>
      <c r="Z55" s="81">
        <f t="shared" si="41"/>
        <v>0</v>
      </c>
      <c r="AA55" s="82">
        <v>0</v>
      </c>
      <c r="AB55" s="82">
        <v>0</v>
      </c>
      <c r="AC55" s="82">
        <v>0</v>
      </c>
    </row>
    <row r="56" spans="1:29" s="12" customFormat="1" ht="60" customHeight="1">
      <c r="A56" s="27" t="s">
        <v>83</v>
      </c>
      <c r="B56" s="107" t="s">
        <v>48</v>
      </c>
      <c r="C56" s="86" t="s">
        <v>23</v>
      </c>
      <c r="D56" s="81">
        <f t="shared" si="33"/>
        <v>0</v>
      </c>
      <c r="E56" s="82">
        <f t="shared" si="34"/>
        <v>0</v>
      </c>
      <c r="F56" s="83">
        <f t="shared" si="35"/>
        <v>0</v>
      </c>
      <c r="G56" s="83">
        <f t="shared" si="35"/>
        <v>0</v>
      </c>
      <c r="H56" s="83">
        <f t="shared" si="36"/>
        <v>0</v>
      </c>
      <c r="I56" s="84">
        <f t="shared" si="37"/>
        <v>0</v>
      </c>
      <c r="J56" s="84">
        <f t="shared" si="7"/>
        <v>0</v>
      </c>
      <c r="K56" s="85">
        <v>0</v>
      </c>
      <c r="L56" s="85">
        <v>0</v>
      </c>
      <c r="M56" s="85">
        <v>0</v>
      </c>
      <c r="N56" s="81">
        <f t="shared" si="38"/>
        <v>0</v>
      </c>
      <c r="O56" s="82">
        <v>0</v>
      </c>
      <c r="P56" s="82">
        <v>0</v>
      </c>
      <c r="Q56" s="82">
        <v>0</v>
      </c>
      <c r="R56" s="81">
        <f t="shared" si="39"/>
        <v>0</v>
      </c>
      <c r="S56" s="82">
        <v>0</v>
      </c>
      <c r="T56" s="82">
        <v>0</v>
      </c>
      <c r="U56" s="82">
        <v>0</v>
      </c>
      <c r="V56" s="81">
        <f t="shared" si="40"/>
        <v>0</v>
      </c>
      <c r="W56" s="82">
        <v>0</v>
      </c>
      <c r="X56" s="82">
        <v>0</v>
      </c>
      <c r="Y56" s="82">
        <v>0</v>
      </c>
      <c r="Z56" s="81">
        <f t="shared" si="41"/>
        <v>0</v>
      </c>
      <c r="AA56" s="82">
        <v>0</v>
      </c>
      <c r="AB56" s="82">
        <v>0</v>
      </c>
      <c r="AC56" s="82">
        <v>0</v>
      </c>
    </row>
    <row r="57" spans="1:64" ht="31.5" customHeight="1">
      <c r="A57" s="27" t="s">
        <v>84</v>
      </c>
      <c r="B57" s="101" t="s">
        <v>46</v>
      </c>
      <c r="C57" s="86" t="s">
        <v>23</v>
      </c>
      <c r="D57" s="81">
        <f t="shared" si="33"/>
        <v>0</v>
      </c>
      <c r="E57" s="82">
        <f t="shared" si="34"/>
        <v>0</v>
      </c>
      <c r="F57" s="83">
        <f t="shared" si="35"/>
        <v>0</v>
      </c>
      <c r="G57" s="83">
        <f t="shared" si="35"/>
        <v>0</v>
      </c>
      <c r="H57" s="83">
        <f t="shared" si="36"/>
        <v>0</v>
      </c>
      <c r="I57" s="84">
        <f t="shared" si="37"/>
        <v>0</v>
      </c>
      <c r="J57" s="84">
        <f t="shared" si="7"/>
        <v>0</v>
      </c>
      <c r="K57" s="85">
        <v>0</v>
      </c>
      <c r="L57" s="85">
        <v>0</v>
      </c>
      <c r="M57" s="85">
        <v>0</v>
      </c>
      <c r="N57" s="81">
        <f t="shared" si="38"/>
        <v>0</v>
      </c>
      <c r="O57" s="82">
        <v>0</v>
      </c>
      <c r="P57" s="82">
        <v>0</v>
      </c>
      <c r="Q57" s="82">
        <v>0</v>
      </c>
      <c r="R57" s="81">
        <f t="shared" si="39"/>
        <v>0</v>
      </c>
      <c r="S57" s="82">
        <v>0</v>
      </c>
      <c r="T57" s="82">
        <v>0</v>
      </c>
      <c r="U57" s="82">
        <v>0</v>
      </c>
      <c r="V57" s="81">
        <f t="shared" si="40"/>
        <v>0</v>
      </c>
      <c r="W57" s="82">
        <v>0</v>
      </c>
      <c r="X57" s="82">
        <v>0</v>
      </c>
      <c r="Y57" s="82">
        <v>0</v>
      </c>
      <c r="Z57" s="81">
        <f t="shared" si="41"/>
        <v>0</v>
      </c>
      <c r="AA57" s="82">
        <v>0</v>
      </c>
      <c r="AB57" s="82">
        <v>0</v>
      </c>
      <c r="AC57" s="82">
        <v>0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71.25" customHeight="1">
      <c r="A58" s="24"/>
      <c r="B58" s="98" t="s">
        <v>115</v>
      </c>
      <c r="C58" s="25"/>
      <c r="D58" s="76">
        <f>D59</f>
        <v>4992.799999999999</v>
      </c>
      <c r="E58" s="76">
        <f aca="true" t="shared" si="42" ref="E58:AC58">E59</f>
        <v>0</v>
      </c>
      <c r="F58" s="76">
        <f t="shared" si="42"/>
        <v>1417.1999999999998</v>
      </c>
      <c r="G58" s="76">
        <f t="shared" si="42"/>
        <v>3575.6</v>
      </c>
      <c r="H58" s="76">
        <f t="shared" si="42"/>
        <v>0</v>
      </c>
      <c r="I58" s="76">
        <f t="shared" si="42"/>
        <v>0</v>
      </c>
      <c r="J58" s="76">
        <f t="shared" si="7"/>
        <v>0</v>
      </c>
      <c r="K58" s="76">
        <f t="shared" si="42"/>
        <v>0</v>
      </c>
      <c r="L58" s="76">
        <f t="shared" si="42"/>
        <v>0</v>
      </c>
      <c r="M58" s="76">
        <f t="shared" si="42"/>
        <v>0</v>
      </c>
      <c r="N58" s="76">
        <f t="shared" si="42"/>
        <v>1614.4</v>
      </c>
      <c r="O58" s="76">
        <f t="shared" si="42"/>
        <v>0</v>
      </c>
      <c r="P58" s="76">
        <f t="shared" si="42"/>
        <v>472.4</v>
      </c>
      <c r="Q58" s="76">
        <f t="shared" si="42"/>
        <v>1142</v>
      </c>
      <c r="R58" s="76">
        <f t="shared" si="42"/>
        <v>0</v>
      </c>
      <c r="S58" s="76">
        <f t="shared" si="42"/>
        <v>0</v>
      </c>
      <c r="T58" s="76">
        <f t="shared" si="42"/>
        <v>0</v>
      </c>
      <c r="U58" s="76">
        <f t="shared" si="42"/>
        <v>0</v>
      </c>
      <c r="V58" s="76">
        <f t="shared" si="42"/>
        <v>1660</v>
      </c>
      <c r="W58" s="76">
        <f t="shared" si="42"/>
        <v>0</v>
      </c>
      <c r="X58" s="76">
        <f t="shared" si="42"/>
        <v>472.4</v>
      </c>
      <c r="Y58" s="76">
        <f t="shared" si="42"/>
        <v>1187.6</v>
      </c>
      <c r="Z58" s="76">
        <f t="shared" si="42"/>
        <v>1718.4</v>
      </c>
      <c r="AA58" s="76">
        <f t="shared" si="42"/>
        <v>0</v>
      </c>
      <c r="AB58" s="76">
        <f t="shared" si="42"/>
        <v>472.4</v>
      </c>
      <c r="AC58" s="76">
        <f t="shared" si="42"/>
        <v>1246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s="8" customFormat="1" ht="83.25" customHeight="1">
      <c r="A59" s="26" t="s">
        <v>86</v>
      </c>
      <c r="B59" s="102" t="s">
        <v>87</v>
      </c>
      <c r="C59" s="87"/>
      <c r="D59" s="88">
        <f aca="true" t="shared" si="43" ref="D59:Y59">D60+D64+D65</f>
        <v>4992.799999999999</v>
      </c>
      <c r="E59" s="88">
        <f t="shared" si="43"/>
        <v>0</v>
      </c>
      <c r="F59" s="88">
        <f t="shared" si="43"/>
        <v>1417.1999999999998</v>
      </c>
      <c r="G59" s="88">
        <f>G60+G64+G65</f>
        <v>3575.6</v>
      </c>
      <c r="H59" s="88">
        <f>H60+H64+H65</f>
        <v>0</v>
      </c>
      <c r="I59" s="88">
        <f t="shared" si="43"/>
        <v>0</v>
      </c>
      <c r="J59" s="79">
        <f t="shared" si="7"/>
        <v>0</v>
      </c>
      <c r="K59" s="88">
        <f t="shared" si="43"/>
        <v>0</v>
      </c>
      <c r="L59" s="88">
        <f t="shared" si="43"/>
        <v>0</v>
      </c>
      <c r="M59" s="88">
        <f t="shared" si="43"/>
        <v>0</v>
      </c>
      <c r="N59" s="88">
        <f t="shared" si="43"/>
        <v>1614.4</v>
      </c>
      <c r="O59" s="88">
        <f t="shared" si="43"/>
        <v>0</v>
      </c>
      <c r="P59" s="88">
        <f t="shared" si="43"/>
        <v>472.4</v>
      </c>
      <c r="Q59" s="88">
        <f t="shared" si="43"/>
        <v>1142</v>
      </c>
      <c r="R59" s="88">
        <f>R60+R64+R65</f>
        <v>0</v>
      </c>
      <c r="S59" s="88">
        <f t="shared" si="43"/>
        <v>0</v>
      </c>
      <c r="T59" s="88">
        <f>T60+T64+T65</f>
        <v>0</v>
      </c>
      <c r="U59" s="88">
        <f t="shared" si="43"/>
        <v>0</v>
      </c>
      <c r="V59" s="88">
        <f t="shared" si="43"/>
        <v>1660</v>
      </c>
      <c r="W59" s="88">
        <f t="shared" si="43"/>
        <v>0</v>
      </c>
      <c r="X59" s="88">
        <f t="shared" si="43"/>
        <v>472.4</v>
      </c>
      <c r="Y59" s="88">
        <f t="shared" si="43"/>
        <v>1187.6</v>
      </c>
      <c r="Z59" s="88">
        <f>Z60+Z64+Z65</f>
        <v>1718.4</v>
      </c>
      <c r="AA59" s="88">
        <f>AA60+AA64+AA65</f>
        <v>0</v>
      </c>
      <c r="AB59" s="88">
        <f>AB60+AB64+AB65</f>
        <v>472.4</v>
      </c>
      <c r="AC59" s="88">
        <f>AC60+AC64+AC65</f>
        <v>1246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29" s="12" customFormat="1" ht="72.75" customHeight="1">
      <c r="A60" s="27" t="s">
        <v>89</v>
      </c>
      <c r="B60" s="101" t="s">
        <v>88</v>
      </c>
      <c r="C60" s="86" t="s">
        <v>23</v>
      </c>
      <c r="D60" s="81">
        <f aca="true" t="shared" si="44" ref="D60:D65">E60+F60+G60</f>
        <v>4982.799999999999</v>
      </c>
      <c r="E60" s="82">
        <f aca="true" t="shared" si="45" ref="E60:E65">K60+S60+W60</f>
        <v>0</v>
      </c>
      <c r="F60" s="83">
        <f aca="true" t="shared" si="46" ref="F60:G65">L60+P60+X60+AB60</f>
        <v>1417.1999999999998</v>
      </c>
      <c r="G60" s="83">
        <f t="shared" si="46"/>
        <v>3565.6</v>
      </c>
      <c r="H60" s="83">
        <f aca="true" t="shared" si="47" ref="H60:H65">J60+R60</f>
        <v>0</v>
      </c>
      <c r="I60" s="84">
        <f aca="true" t="shared" si="48" ref="I60:I65">K60+L60+M60</f>
        <v>0</v>
      </c>
      <c r="J60" s="84">
        <f t="shared" si="7"/>
        <v>0</v>
      </c>
      <c r="K60" s="85">
        <v>0</v>
      </c>
      <c r="L60" s="85">
        <v>0</v>
      </c>
      <c r="M60" s="89">
        <v>0</v>
      </c>
      <c r="N60" s="81">
        <f aca="true" t="shared" si="49" ref="N60:N65">SUM(O60:R60)</f>
        <v>1604.4</v>
      </c>
      <c r="O60" s="82">
        <v>0</v>
      </c>
      <c r="P60" s="82">
        <v>472.4</v>
      </c>
      <c r="Q60" s="82">
        <f>388.85+24.9+718.25</f>
        <v>1132</v>
      </c>
      <c r="R60" s="81">
        <f aca="true" t="shared" si="50" ref="R60:R65">SUM(S60:U60)</f>
        <v>0</v>
      </c>
      <c r="S60" s="82">
        <v>0</v>
      </c>
      <c r="T60" s="82">
        <v>0</v>
      </c>
      <c r="U60" s="82">
        <v>0</v>
      </c>
      <c r="V60" s="81">
        <f aca="true" t="shared" si="51" ref="V60:V65">W60+X60+Y60</f>
        <v>1660</v>
      </c>
      <c r="W60" s="82">
        <v>0</v>
      </c>
      <c r="X60" s="82">
        <v>472.4</v>
      </c>
      <c r="Y60" s="82">
        <f>425.95+24.9+736.75</f>
        <v>1187.6</v>
      </c>
      <c r="Z60" s="81">
        <f aca="true" t="shared" si="52" ref="Z60:Z65">AA60+AB60+AC60</f>
        <v>1718.4</v>
      </c>
      <c r="AA60" s="82">
        <v>0</v>
      </c>
      <c r="AB60" s="82">
        <v>472.4</v>
      </c>
      <c r="AC60" s="82">
        <v>1246</v>
      </c>
    </row>
    <row r="61" spans="1:29" s="12" customFormat="1" ht="33" customHeight="1">
      <c r="A61" s="27"/>
      <c r="B61" s="106" t="s">
        <v>61</v>
      </c>
      <c r="C61" s="86" t="s">
        <v>23</v>
      </c>
      <c r="D61" s="81">
        <f t="shared" si="44"/>
        <v>1382.85</v>
      </c>
      <c r="E61" s="82">
        <f t="shared" si="45"/>
        <v>0</v>
      </c>
      <c r="F61" s="83">
        <f t="shared" si="46"/>
        <v>1313.6999999999998</v>
      </c>
      <c r="G61" s="83">
        <f t="shared" si="46"/>
        <v>69.15</v>
      </c>
      <c r="H61" s="83">
        <f t="shared" si="47"/>
        <v>0</v>
      </c>
      <c r="I61" s="84">
        <f t="shared" si="48"/>
        <v>0</v>
      </c>
      <c r="J61" s="84">
        <f t="shared" si="7"/>
        <v>0</v>
      </c>
      <c r="K61" s="85">
        <v>0</v>
      </c>
      <c r="L61" s="85">
        <v>0</v>
      </c>
      <c r="M61" s="85">
        <v>0</v>
      </c>
      <c r="N61" s="81">
        <f t="shared" si="49"/>
        <v>460.95</v>
      </c>
      <c r="O61" s="82">
        <v>0</v>
      </c>
      <c r="P61" s="85">
        <v>437.9</v>
      </c>
      <c r="Q61" s="85">
        <v>23.05</v>
      </c>
      <c r="R61" s="81">
        <f t="shared" si="50"/>
        <v>0</v>
      </c>
      <c r="S61" s="82">
        <v>0</v>
      </c>
      <c r="T61" s="85">
        <v>0</v>
      </c>
      <c r="U61" s="85">
        <v>0</v>
      </c>
      <c r="V61" s="81">
        <f t="shared" si="51"/>
        <v>460.95</v>
      </c>
      <c r="W61" s="82">
        <v>0</v>
      </c>
      <c r="X61" s="85">
        <v>437.9</v>
      </c>
      <c r="Y61" s="85">
        <v>23.05</v>
      </c>
      <c r="Z61" s="81">
        <f t="shared" si="52"/>
        <v>460.95</v>
      </c>
      <c r="AA61" s="82">
        <v>0</v>
      </c>
      <c r="AB61" s="85">
        <v>437.9</v>
      </c>
      <c r="AC61" s="85">
        <v>23.05</v>
      </c>
    </row>
    <row r="62" spans="1:29" s="12" customFormat="1" ht="31.5" customHeight="1">
      <c r="A62" s="27"/>
      <c r="B62" s="106" t="s">
        <v>62</v>
      </c>
      <c r="C62" s="86" t="s">
        <v>23</v>
      </c>
      <c r="D62" s="81">
        <f t="shared" si="44"/>
        <v>109.05</v>
      </c>
      <c r="E62" s="82">
        <f t="shared" si="45"/>
        <v>0</v>
      </c>
      <c r="F62" s="83">
        <f t="shared" si="46"/>
        <v>103.5</v>
      </c>
      <c r="G62" s="83">
        <f t="shared" si="46"/>
        <v>5.550000000000001</v>
      </c>
      <c r="H62" s="83">
        <f t="shared" si="47"/>
        <v>0</v>
      </c>
      <c r="I62" s="84">
        <f t="shared" si="48"/>
        <v>0</v>
      </c>
      <c r="J62" s="84">
        <f t="shared" si="7"/>
        <v>0</v>
      </c>
      <c r="K62" s="85">
        <v>0</v>
      </c>
      <c r="L62" s="85">
        <v>0</v>
      </c>
      <c r="M62" s="85">
        <v>0</v>
      </c>
      <c r="N62" s="81">
        <f t="shared" si="49"/>
        <v>36.35</v>
      </c>
      <c r="O62" s="82">
        <v>0</v>
      </c>
      <c r="P62" s="82">
        <v>34.5</v>
      </c>
      <c r="Q62" s="82">
        <v>1.85</v>
      </c>
      <c r="R62" s="81">
        <f t="shared" si="50"/>
        <v>0</v>
      </c>
      <c r="S62" s="82">
        <v>0</v>
      </c>
      <c r="T62" s="82">
        <v>0</v>
      </c>
      <c r="U62" s="82">
        <v>0</v>
      </c>
      <c r="V62" s="81">
        <f t="shared" si="51"/>
        <v>36.35</v>
      </c>
      <c r="W62" s="82">
        <v>0</v>
      </c>
      <c r="X62" s="82">
        <v>34.5</v>
      </c>
      <c r="Y62" s="82">
        <v>1.85</v>
      </c>
      <c r="Z62" s="81">
        <f t="shared" si="52"/>
        <v>36.35</v>
      </c>
      <c r="AA62" s="82">
        <v>0</v>
      </c>
      <c r="AB62" s="82">
        <v>34.5</v>
      </c>
      <c r="AC62" s="82">
        <v>1.85</v>
      </c>
    </row>
    <row r="63" spans="1:29" s="12" customFormat="1" ht="32.25" customHeight="1">
      <c r="A63" s="27"/>
      <c r="B63" s="106" t="s">
        <v>63</v>
      </c>
      <c r="C63" s="86" t="s">
        <v>23</v>
      </c>
      <c r="D63" s="81">
        <f t="shared" si="44"/>
        <v>0</v>
      </c>
      <c r="E63" s="82">
        <f t="shared" si="45"/>
        <v>0</v>
      </c>
      <c r="F63" s="83">
        <f t="shared" si="46"/>
        <v>0</v>
      </c>
      <c r="G63" s="83">
        <f t="shared" si="46"/>
        <v>0</v>
      </c>
      <c r="H63" s="83">
        <f t="shared" si="47"/>
        <v>0</v>
      </c>
      <c r="I63" s="84">
        <f t="shared" si="48"/>
        <v>0</v>
      </c>
      <c r="J63" s="84">
        <f t="shared" si="7"/>
        <v>0</v>
      </c>
      <c r="K63" s="85">
        <v>0</v>
      </c>
      <c r="L63" s="85">
        <v>0</v>
      </c>
      <c r="M63" s="85">
        <v>0</v>
      </c>
      <c r="N63" s="81">
        <f t="shared" si="49"/>
        <v>0</v>
      </c>
      <c r="O63" s="82">
        <v>0</v>
      </c>
      <c r="P63" s="82">
        <v>0</v>
      </c>
      <c r="Q63" s="82">
        <v>0</v>
      </c>
      <c r="R63" s="81">
        <f t="shared" si="50"/>
        <v>0</v>
      </c>
      <c r="S63" s="82">
        <v>0</v>
      </c>
      <c r="T63" s="82">
        <v>0</v>
      </c>
      <c r="U63" s="82">
        <v>0</v>
      </c>
      <c r="V63" s="81">
        <f t="shared" si="51"/>
        <v>0</v>
      </c>
      <c r="W63" s="82">
        <v>0</v>
      </c>
      <c r="X63" s="82">
        <v>0</v>
      </c>
      <c r="Y63" s="82">
        <v>0</v>
      </c>
      <c r="Z63" s="81">
        <f t="shared" si="52"/>
        <v>0</v>
      </c>
      <c r="AA63" s="82">
        <v>0</v>
      </c>
      <c r="AB63" s="82">
        <v>0</v>
      </c>
      <c r="AC63" s="82">
        <v>0</v>
      </c>
    </row>
    <row r="64" spans="1:29" s="12" customFormat="1" ht="61.5" customHeight="1">
      <c r="A64" s="27" t="s">
        <v>90</v>
      </c>
      <c r="B64" s="107" t="s">
        <v>48</v>
      </c>
      <c r="C64" s="86" t="s">
        <v>23</v>
      </c>
      <c r="D64" s="81">
        <f t="shared" si="44"/>
        <v>10</v>
      </c>
      <c r="E64" s="82">
        <f t="shared" si="45"/>
        <v>0</v>
      </c>
      <c r="F64" s="83">
        <f t="shared" si="46"/>
        <v>0</v>
      </c>
      <c r="G64" s="83">
        <f t="shared" si="46"/>
        <v>10</v>
      </c>
      <c r="H64" s="83">
        <f t="shared" si="47"/>
        <v>0</v>
      </c>
      <c r="I64" s="84">
        <f t="shared" si="48"/>
        <v>0</v>
      </c>
      <c r="J64" s="84">
        <f t="shared" si="7"/>
        <v>0</v>
      </c>
      <c r="K64" s="85">
        <v>0</v>
      </c>
      <c r="L64" s="85">
        <v>0</v>
      </c>
      <c r="M64" s="85">
        <v>0</v>
      </c>
      <c r="N64" s="81">
        <f t="shared" si="49"/>
        <v>10</v>
      </c>
      <c r="O64" s="82">
        <v>0</v>
      </c>
      <c r="P64" s="82">
        <v>0</v>
      </c>
      <c r="Q64" s="82">
        <v>10</v>
      </c>
      <c r="R64" s="81">
        <f t="shared" si="50"/>
        <v>0</v>
      </c>
      <c r="S64" s="82">
        <v>0</v>
      </c>
      <c r="T64" s="82">
        <v>0</v>
      </c>
      <c r="U64" s="82">
        <v>0</v>
      </c>
      <c r="V64" s="81">
        <f t="shared" si="51"/>
        <v>0</v>
      </c>
      <c r="W64" s="82">
        <v>0</v>
      </c>
      <c r="X64" s="82">
        <v>0</v>
      </c>
      <c r="Y64" s="82">
        <v>0</v>
      </c>
      <c r="Z64" s="81">
        <f t="shared" si="52"/>
        <v>0</v>
      </c>
      <c r="AA64" s="82">
        <v>0</v>
      </c>
      <c r="AB64" s="82">
        <v>0</v>
      </c>
      <c r="AC64" s="82">
        <v>0</v>
      </c>
    </row>
    <row r="65" spans="1:64" ht="33.75" customHeight="1">
      <c r="A65" s="27" t="s">
        <v>91</v>
      </c>
      <c r="B65" s="101" t="s">
        <v>46</v>
      </c>
      <c r="C65" s="86" t="s">
        <v>23</v>
      </c>
      <c r="D65" s="81">
        <f t="shared" si="44"/>
        <v>0</v>
      </c>
      <c r="E65" s="82">
        <f t="shared" si="45"/>
        <v>0</v>
      </c>
      <c r="F65" s="83">
        <f t="shared" si="46"/>
        <v>0</v>
      </c>
      <c r="G65" s="83">
        <f t="shared" si="46"/>
        <v>0</v>
      </c>
      <c r="H65" s="83">
        <f t="shared" si="47"/>
        <v>0</v>
      </c>
      <c r="I65" s="84">
        <f t="shared" si="48"/>
        <v>0</v>
      </c>
      <c r="J65" s="84">
        <f t="shared" si="7"/>
        <v>0</v>
      </c>
      <c r="K65" s="85">
        <v>0</v>
      </c>
      <c r="L65" s="85">
        <v>0</v>
      </c>
      <c r="M65" s="85">
        <v>0</v>
      </c>
      <c r="N65" s="81">
        <f t="shared" si="49"/>
        <v>0</v>
      </c>
      <c r="O65" s="82">
        <v>0</v>
      </c>
      <c r="P65" s="82">
        <v>0</v>
      </c>
      <c r="Q65" s="82">
        <v>0</v>
      </c>
      <c r="R65" s="81">
        <f t="shared" si="50"/>
        <v>0</v>
      </c>
      <c r="S65" s="82">
        <v>0</v>
      </c>
      <c r="T65" s="82">
        <v>0</v>
      </c>
      <c r="U65" s="82">
        <v>0</v>
      </c>
      <c r="V65" s="81">
        <f t="shared" si="51"/>
        <v>0</v>
      </c>
      <c r="W65" s="82">
        <v>0</v>
      </c>
      <c r="X65" s="82">
        <v>0</v>
      </c>
      <c r="Y65" s="82">
        <v>0</v>
      </c>
      <c r="Z65" s="81">
        <f t="shared" si="52"/>
        <v>0</v>
      </c>
      <c r="AA65" s="82">
        <v>0</v>
      </c>
      <c r="AB65" s="82">
        <v>0</v>
      </c>
      <c r="AC65" s="82">
        <v>0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  <row r="103" ht="11.25">
      <c r="B103" s="1"/>
    </row>
    <row r="104" ht="11.25">
      <c r="B104" s="1"/>
    </row>
    <row r="105" ht="11.25">
      <c r="B105" s="1"/>
    </row>
  </sheetData>
  <sheetProtection/>
  <mergeCells count="11">
    <mergeCell ref="V6:Y6"/>
    <mergeCell ref="Z1:AC2"/>
    <mergeCell ref="Z6:AC6"/>
    <mergeCell ref="A1:Y1"/>
    <mergeCell ref="C4:C7"/>
    <mergeCell ref="I6:M6"/>
    <mergeCell ref="N6:U6"/>
    <mergeCell ref="A4:A7"/>
    <mergeCell ref="B4:B7"/>
    <mergeCell ref="D4:H5"/>
    <mergeCell ref="D6:H6"/>
  </mergeCells>
  <printOptions/>
  <pageMargins left="0.5511811023622047" right="0.1968503937007874" top="0.5511811023622047" bottom="0.7874015748031497" header="0.31496062992125984" footer="0.8661417322834646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I116"/>
  <sheetViews>
    <sheetView tabSelected="1" view="pageBreakPreview" zoomScaleSheetLayoutView="100" zoomScalePageLayoutView="0" workbookViewId="0" topLeftCell="A1">
      <pane xSplit="3" ySplit="7" topLeftCell="T6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" sqref="W1:Z3"/>
    </sheetView>
  </sheetViews>
  <sheetFormatPr defaultColWidth="5.7109375" defaultRowHeight="15"/>
  <cols>
    <col min="1" max="1" width="5.7109375" style="1" customWidth="1"/>
    <col min="2" max="2" width="38.57421875" style="2" customWidth="1"/>
    <col min="3" max="3" width="14.00390625" style="1" customWidth="1"/>
    <col min="4" max="4" width="15.421875" style="1" customWidth="1"/>
    <col min="5" max="5" width="12.8515625" style="1" customWidth="1"/>
    <col min="6" max="6" width="12.57421875" style="1" customWidth="1"/>
    <col min="7" max="8" width="14.00390625" style="1" customWidth="1"/>
    <col min="9" max="10" width="14.28125" style="3" customWidth="1"/>
    <col min="11" max="11" width="12.421875" style="3" customWidth="1"/>
    <col min="12" max="12" width="13.8515625" style="3" customWidth="1"/>
    <col min="13" max="13" width="13.28125" style="3" customWidth="1"/>
    <col min="14" max="15" width="13.00390625" style="1" customWidth="1"/>
    <col min="16" max="16" width="12.8515625" style="1" customWidth="1"/>
    <col min="17" max="17" width="13.00390625" style="1" customWidth="1"/>
    <col min="18" max="18" width="13.140625" style="1" customWidth="1"/>
    <col min="19" max="19" width="12.8515625" style="1" customWidth="1"/>
    <col min="20" max="20" width="9.00390625" style="1" customWidth="1"/>
    <col min="21" max="21" width="12.7109375" style="1" customWidth="1"/>
    <col min="22" max="22" width="13.421875" style="1" customWidth="1"/>
    <col min="23" max="23" width="11.8515625" style="1" customWidth="1"/>
    <col min="24" max="24" width="11.28125" style="1" customWidth="1"/>
    <col min="25" max="25" width="13.00390625" style="1" customWidth="1"/>
    <col min="26" max="26" width="13.7109375" style="1" customWidth="1"/>
    <col min="27" max="16384" width="5.7109375" style="1" customWidth="1"/>
  </cols>
  <sheetData>
    <row r="1" spans="1:26" ht="35.25" customHeight="1">
      <c r="A1" s="152" t="s">
        <v>49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71" t="s">
        <v>144</v>
      </c>
      <c r="X1" s="171"/>
      <c r="Y1" s="171"/>
      <c r="Z1" s="171"/>
    </row>
    <row r="2" spans="1:26" ht="11.25">
      <c r="A2" s="13"/>
      <c r="B2" s="15"/>
      <c r="C2" s="13"/>
      <c r="D2" s="9"/>
      <c r="E2" s="9"/>
      <c r="F2" s="9"/>
      <c r="G2" s="9"/>
      <c r="H2" s="9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9"/>
      <c r="U2" s="9"/>
      <c r="V2" s="12" t="s">
        <v>36</v>
      </c>
      <c r="W2" s="171"/>
      <c r="X2" s="171"/>
      <c r="Y2" s="171"/>
      <c r="Z2" s="171"/>
    </row>
    <row r="3" spans="1:26" ht="20.25" customHeight="1">
      <c r="A3" s="16"/>
      <c r="B3" s="17"/>
      <c r="C3" s="16"/>
      <c r="D3" s="9"/>
      <c r="E3" s="9"/>
      <c r="F3" s="9"/>
      <c r="G3" s="9"/>
      <c r="H3" s="9"/>
      <c r="I3" s="140"/>
      <c r="J3" s="5"/>
      <c r="K3" s="5"/>
      <c r="L3" s="5"/>
      <c r="M3" s="5"/>
      <c r="N3" s="9"/>
      <c r="O3" s="9"/>
      <c r="P3" s="9"/>
      <c r="Q3" s="9"/>
      <c r="R3" s="9"/>
      <c r="S3" s="9"/>
      <c r="T3" s="9"/>
      <c r="U3" s="9"/>
      <c r="V3" s="9"/>
      <c r="W3" s="172"/>
      <c r="X3" s="172"/>
      <c r="Y3" s="172"/>
      <c r="Z3" s="172"/>
    </row>
    <row r="4" spans="1:61" ht="19.5" customHeight="1">
      <c r="A4" s="154" t="s">
        <v>37</v>
      </c>
      <c r="B4" s="162" t="s">
        <v>35</v>
      </c>
      <c r="C4" s="154" t="s">
        <v>1</v>
      </c>
      <c r="D4" s="165" t="s">
        <v>26</v>
      </c>
      <c r="E4" s="166"/>
      <c r="F4" s="166"/>
      <c r="G4" s="166"/>
      <c r="H4" s="167"/>
      <c r="I4" s="6"/>
      <c r="J4" s="6"/>
      <c r="K4" s="6"/>
      <c r="L4" s="6"/>
      <c r="M4" s="6"/>
      <c r="N4" s="10"/>
      <c r="O4" s="10"/>
      <c r="P4" s="10"/>
      <c r="Q4" s="10"/>
      <c r="R4" s="10"/>
      <c r="S4" s="10"/>
      <c r="T4" s="10"/>
      <c r="U4" s="10"/>
      <c r="V4" s="10"/>
      <c r="W4" s="6"/>
      <c r="X4" s="6"/>
      <c r="Y4" s="124"/>
      <c r="Z4" s="12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26.25" customHeight="1">
      <c r="A5" s="155"/>
      <c r="B5" s="163"/>
      <c r="C5" s="155"/>
      <c r="D5" s="168"/>
      <c r="E5" s="169"/>
      <c r="F5" s="169"/>
      <c r="G5" s="169"/>
      <c r="H5" s="170"/>
      <c r="I5" s="6"/>
      <c r="J5" s="6"/>
      <c r="K5" s="6"/>
      <c r="L5" s="6"/>
      <c r="M5" s="6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124"/>
      <c r="Z5" s="124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21" customHeight="1">
      <c r="A6" s="155"/>
      <c r="B6" s="163"/>
      <c r="C6" s="155"/>
      <c r="D6" s="149" t="s">
        <v>0</v>
      </c>
      <c r="E6" s="150"/>
      <c r="F6" s="150"/>
      <c r="G6" s="150"/>
      <c r="H6" s="151"/>
      <c r="I6" s="157" t="s">
        <v>30</v>
      </c>
      <c r="J6" s="158"/>
      <c r="K6" s="158"/>
      <c r="L6" s="158"/>
      <c r="M6" s="159"/>
      <c r="N6" s="149" t="s">
        <v>31</v>
      </c>
      <c r="O6" s="150"/>
      <c r="P6" s="160"/>
      <c r="Q6" s="160"/>
      <c r="R6" s="161"/>
      <c r="S6" s="149" t="s">
        <v>32</v>
      </c>
      <c r="T6" s="160"/>
      <c r="U6" s="160"/>
      <c r="V6" s="161"/>
      <c r="W6" s="149" t="s">
        <v>98</v>
      </c>
      <c r="X6" s="160"/>
      <c r="Y6" s="160"/>
      <c r="Z6" s="16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1.25">
      <c r="A7" s="156"/>
      <c r="B7" s="164"/>
      <c r="C7" s="156"/>
      <c r="D7" s="19" t="s">
        <v>38</v>
      </c>
      <c r="E7" s="14" t="s">
        <v>39</v>
      </c>
      <c r="F7" s="14" t="s">
        <v>40</v>
      </c>
      <c r="G7" s="19" t="s">
        <v>41</v>
      </c>
      <c r="H7" s="19" t="s">
        <v>120</v>
      </c>
      <c r="I7" s="20" t="s">
        <v>38</v>
      </c>
      <c r="J7" s="20" t="s">
        <v>121</v>
      </c>
      <c r="K7" s="20" t="s">
        <v>39</v>
      </c>
      <c r="L7" s="20" t="s">
        <v>40</v>
      </c>
      <c r="M7" s="20" t="s">
        <v>41</v>
      </c>
      <c r="N7" s="19" t="s">
        <v>38</v>
      </c>
      <c r="O7" s="19" t="s">
        <v>121</v>
      </c>
      <c r="P7" s="19" t="s">
        <v>39</v>
      </c>
      <c r="Q7" s="19" t="s">
        <v>40</v>
      </c>
      <c r="R7" s="19" t="s">
        <v>41</v>
      </c>
      <c r="S7" s="19" t="s">
        <v>38</v>
      </c>
      <c r="T7" s="19" t="s">
        <v>39</v>
      </c>
      <c r="U7" s="19" t="s">
        <v>40</v>
      </c>
      <c r="V7" s="19" t="s">
        <v>41</v>
      </c>
      <c r="W7" s="19" t="s">
        <v>38</v>
      </c>
      <c r="X7" s="19" t="s">
        <v>39</v>
      </c>
      <c r="Y7" s="19" t="s">
        <v>40</v>
      </c>
      <c r="Z7" s="19" t="s">
        <v>41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21.75" customHeight="1">
      <c r="A8" s="22"/>
      <c r="B8" s="97" t="s">
        <v>50</v>
      </c>
      <c r="C8" s="75"/>
      <c r="D8" s="76">
        <f aca="true" t="shared" si="0" ref="D8:Z8">D9+D21+D47+D56</f>
        <v>119687.87566000002</v>
      </c>
      <c r="E8" s="76">
        <f t="shared" si="0"/>
        <v>0</v>
      </c>
      <c r="F8" s="76">
        <f t="shared" si="0"/>
        <v>0</v>
      </c>
      <c r="G8" s="76">
        <f t="shared" si="0"/>
        <v>0</v>
      </c>
      <c r="H8" s="76">
        <f t="shared" si="0"/>
        <v>119687.87566000002</v>
      </c>
      <c r="I8" s="76">
        <f t="shared" si="0"/>
        <v>29323.61162</v>
      </c>
      <c r="J8" s="76">
        <f t="shared" si="0"/>
        <v>29323.61162</v>
      </c>
      <c r="K8" s="76">
        <f t="shared" si="0"/>
        <v>4260.27857</v>
      </c>
      <c r="L8" s="76">
        <f t="shared" si="0"/>
        <v>7891.27669</v>
      </c>
      <c r="M8" s="76">
        <f t="shared" si="0"/>
        <v>17172.05636</v>
      </c>
      <c r="N8" s="76">
        <f t="shared" si="0"/>
        <v>90364.26404</v>
      </c>
      <c r="O8" s="76">
        <f t="shared" si="0"/>
        <v>90364.26404</v>
      </c>
      <c r="P8" s="76">
        <f t="shared" si="0"/>
        <v>0</v>
      </c>
      <c r="Q8" s="76">
        <f t="shared" si="0"/>
        <v>49296.83499999999</v>
      </c>
      <c r="R8" s="76">
        <f t="shared" si="0"/>
        <v>41067.42904</v>
      </c>
      <c r="S8" s="76">
        <f t="shared" si="0"/>
        <v>0</v>
      </c>
      <c r="T8" s="76">
        <f t="shared" si="0"/>
        <v>0</v>
      </c>
      <c r="U8" s="76">
        <f t="shared" si="0"/>
        <v>0</v>
      </c>
      <c r="V8" s="76">
        <f t="shared" si="0"/>
        <v>0</v>
      </c>
      <c r="W8" s="76">
        <f t="shared" si="0"/>
        <v>0</v>
      </c>
      <c r="X8" s="76">
        <f t="shared" si="0"/>
        <v>0</v>
      </c>
      <c r="Y8" s="76">
        <f t="shared" si="0"/>
        <v>0</v>
      </c>
      <c r="Z8" s="76">
        <f t="shared" si="0"/>
        <v>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36" customHeight="1">
      <c r="A9" s="22"/>
      <c r="B9" s="98" t="s">
        <v>116</v>
      </c>
      <c r="C9" s="77"/>
      <c r="D9" s="76">
        <f>D10</f>
        <v>81231.87360000002</v>
      </c>
      <c r="E9" s="76">
        <f aca="true" t="shared" si="1" ref="E9:Z9">E10</f>
        <v>0</v>
      </c>
      <c r="F9" s="76">
        <f t="shared" si="1"/>
        <v>0</v>
      </c>
      <c r="G9" s="76">
        <f t="shared" si="1"/>
        <v>0</v>
      </c>
      <c r="H9" s="76">
        <f t="shared" si="1"/>
        <v>81231.87360000002</v>
      </c>
      <c r="I9" s="76">
        <f t="shared" si="1"/>
        <v>22913.072519999998</v>
      </c>
      <c r="J9" s="76">
        <f t="shared" si="1"/>
        <v>22913.072519999998</v>
      </c>
      <c r="K9" s="76">
        <f t="shared" si="1"/>
        <v>0</v>
      </c>
      <c r="L9" s="76">
        <f t="shared" si="1"/>
        <v>7261.6846</v>
      </c>
      <c r="M9" s="76">
        <f t="shared" si="1"/>
        <v>15651.38792</v>
      </c>
      <c r="N9" s="76">
        <f>N10</f>
        <v>58318.801080000005</v>
      </c>
      <c r="O9" s="76">
        <f>O10</f>
        <v>58318.801080000005</v>
      </c>
      <c r="P9" s="76">
        <f t="shared" si="1"/>
        <v>0</v>
      </c>
      <c r="Q9" s="76">
        <f t="shared" si="1"/>
        <v>23052.86</v>
      </c>
      <c r="R9" s="76">
        <f t="shared" si="1"/>
        <v>35265.941080000004</v>
      </c>
      <c r="S9" s="76">
        <f t="shared" si="1"/>
        <v>0</v>
      </c>
      <c r="T9" s="76">
        <f t="shared" si="1"/>
        <v>0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26" s="74" customFormat="1" ht="61.5" customHeight="1">
      <c r="A10" s="23" t="s">
        <v>3</v>
      </c>
      <c r="B10" s="99" t="s">
        <v>51</v>
      </c>
      <c r="C10" s="78"/>
      <c r="D10" s="79">
        <f>D11+D15+D16+D17+D18+D19+D20</f>
        <v>81231.87360000002</v>
      </c>
      <c r="E10" s="79">
        <f aca="true" t="shared" si="2" ref="E10:Q10">E11+E15+E16+E17+E18+E19+E20</f>
        <v>0</v>
      </c>
      <c r="F10" s="79">
        <f t="shared" si="2"/>
        <v>0</v>
      </c>
      <c r="G10" s="79">
        <f t="shared" si="2"/>
        <v>0</v>
      </c>
      <c r="H10" s="79">
        <f>H11+H15+H16+H17+H18+H19+H20</f>
        <v>81231.87360000002</v>
      </c>
      <c r="I10" s="79">
        <f t="shared" si="2"/>
        <v>22913.072519999998</v>
      </c>
      <c r="J10" s="79">
        <f t="shared" si="2"/>
        <v>22913.072519999998</v>
      </c>
      <c r="K10" s="79">
        <f t="shared" si="2"/>
        <v>0</v>
      </c>
      <c r="L10" s="79">
        <f t="shared" si="2"/>
        <v>7261.6846</v>
      </c>
      <c r="M10" s="79">
        <f>M11+M15+M16+M17+M18+M19+M20</f>
        <v>15651.38792</v>
      </c>
      <c r="N10" s="79">
        <f>N11+N15+N16+N17+N18+N19+N20</f>
        <v>58318.801080000005</v>
      </c>
      <c r="O10" s="79">
        <f>O11+O15+O16+O17+O18+O19+O20</f>
        <v>58318.801080000005</v>
      </c>
      <c r="P10" s="79">
        <f t="shared" si="2"/>
        <v>0</v>
      </c>
      <c r="Q10" s="79">
        <f t="shared" si="2"/>
        <v>23052.86</v>
      </c>
      <c r="R10" s="79">
        <f>R11+R15+R16+R17+R18+R19+R20</f>
        <v>35265.941080000004</v>
      </c>
      <c r="S10" s="79">
        <f aca="true" t="shared" si="3" ref="S10:Z10">S11+S15+S16+S17+S18+S19+S20</f>
        <v>0</v>
      </c>
      <c r="T10" s="79">
        <f t="shared" si="3"/>
        <v>0</v>
      </c>
      <c r="U10" s="79">
        <f t="shared" si="3"/>
        <v>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</row>
    <row r="11" spans="1:61" ht="60">
      <c r="A11" s="19" t="s">
        <v>2</v>
      </c>
      <c r="B11" s="114" t="s">
        <v>66</v>
      </c>
      <c r="C11" s="80" t="s">
        <v>52</v>
      </c>
      <c r="D11" s="81">
        <f>SUM(E11:H11)</f>
        <v>80139.49929</v>
      </c>
      <c r="E11" s="82">
        <f>T11</f>
        <v>0</v>
      </c>
      <c r="F11" s="83">
        <f>U11</f>
        <v>0</v>
      </c>
      <c r="G11" s="83">
        <f>V11</f>
        <v>0</v>
      </c>
      <c r="H11" s="83">
        <f>J11+O11</f>
        <v>80139.49929</v>
      </c>
      <c r="I11" s="84">
        <f>J11</f>
        <v>22665.24094</v>
      </c>
      <c r="J11" s="84">
        <f>SUM(K11:M11)</f>
        <v>22665.24094</v>
      </c>
      <c r="K11" s="85">
        <v>0</v>
      </c>
      <c r="L11" s="85">
        <v>7261.6846</v>
      </c>
      <c r="M11" s="89">
        <f>15522.4887-118.93236</f>
        <v>15403.55634</v>
      </c>
      <c r="N11" s="128">
        <f>O11</f>
        <v>57474.258350000004</v>
      </c>
      <c r="O11" s="128">
        <f>SUM(P11:R11)</f>
        <v>57474.258350000004</v>
      </c>
      <c r="P11" s="89">
        <v>0</v>
      </c>
      <c r="Q11" s="129">
        <f>Q12+Q13</f>
        <v>23052.86</v>
      </c>
      <c r="R11" s="129">
        <f>35063.80971-450-197.86863-394.54273+500-100</f>
        <v>34421.39835</v>
      </c>
      <c r="S11" s="81">
        <f aca="true" t="shared" si="4" ref="S11:S19">T11+U11+V11</f>
        <v>0</v>
      </c>
      <c r="T11" s="82">
        <v>0</v>
      </c>
      <c r="U11" s="82">
        <v>0</v>
      </c>
      <c r="V11" s="82">
        <v>0</v>
      </c>
      <c r="W11" s="81">
        <f aca="true" t="shared" si="5" ref="W11:W19">X11+Y11+Z11</f>
        <v>0</v>
      </c>
      <c r="X11" s="82">
        <v>0</v>
      </c>
      <c r="Y11" s="82">
        <v>0</v>
      </c>
      <c r="Z11" s="82">
        <v>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23.25" customHeight="1">
      <c r="A12" s="19"/>
      <c r="B12" s="106" t="s">
        <v>61</v>
      </c>
      <c r="C12" s="80" t="s">
        <v>52</v>
      </c>
      <c r="D12" s="81">
        <f aca="true" t="shared" si="6" ref="D12:D18">SUM(E12:H12)</f>
        <v>31193.4522</v>
      </c>
      <c r="E12" s="82">
        <f aca="true" t="shared" si="7" ref="E12:E19">T12</f>
        <v>0</v>
      </c>
      <c r="F12" s="83">
        <f aca="true" t="shared" si="8" ref="F12:F19">U12</f>
        <v>0</v>
      </c>
      <c r="G12" s="83">
        <f aca="true" t="shared" si="9" ref="G12:G19">V12</f>
        <v>0</v>
      </c>
      <c r="H12" s="83">
        <f aca="true" t="shared" si="10" ref="H12:H18">J12+O12</f>
        <v>31193.4522</v>
      </c>
      <c r="I12" s="84">
        <f aca="true" t="shared" si="11" ref="I12:I19">J12</f>
        <v>7531.032200000001</v>
      </c>
      <c r="J12" s="84">
        <f aca="true" t="shared" si="12" ref="J12:J19">SUM(K12:M12)</f>
        <v>7531.032200000001</v>
      </c>
      <c r="K12" s="85">
        <v>0</v>
      </c>
      <c r="L12" s="85">
        <f>5440.578+1643.055</f>
        <v>7083.633000000001</v>
      </c>
      <c r="M12" s="85">
        <f>343.6392+103.76</f>
        <v>447.3992</v>
      </c>
      <c r="N12" s="128">
        <f aca="true" t="shared" si="13" ref="N12:N19">O12</f>
        <v>23662.42</v>
      </c>
      <c r="O12" s="128">
        <f aca="true" t="shared" si="14" ref="O12:O19">SUM(P12:R12)</f>
        <v>23662.42</v>
      </c>
      <c r="P12" s="89">
        <v>0</v>
      </c>
      <c r="Q12" s="129">
        <v>22479.3</v>
      </c>
      <c r="R12" s="129">
        <v>1183.12</v>
      </c>
      <c r="S12" s="81">
        <f t="shared" si="4"/>
        <v>0</v>
      </c>
      <c r="T12" s="82">
        <v>0</v>
      </c>
      <c r="U12" s="82">
        <v>0</v>
      </c>
      <c r="V12" s="82">
        <v>0</v>
      </c>
      <c r="W12" s="81">
        <f t="shared" si="5"/>
        <v>0</v>
      </c>
      <c r="X12" s="82">
        <v>0</v>
      </c>
      <c r="Y12" s="82">
        <v>0</v>
      </c>
      <c r="Z12" s="82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27" customHeight="1">
      <c r="A13" s="19"/>
      <c r="B13" s="106" t="s">
        <v>62</v>
      </c>
      <c r="C13" s="80" t="s">
        <v>52</v>
      </c>
      <c r="D13" s="81">
        <f t="shared" si="6"/>
        <v>792.8815999999999</v>
      </c>
      <c r="E13" s="82">
        <f t="shared" si="7"/>
        <v>0</v>
      </c>
      <c r="F13" s="83">
        <f t="shared" si="8"/>
        <v>0</v>
      </c>
      <c r="G13" s="83">
        <f t="shared" si="9"/>
        <v>0</v>
      </c>
      <c r="H13" s="83">
        <f t="shared" si="10"/>
        <v>792.8815999999999</v>
      </c>
      <c r="I13" s="84">
        <f t="shared" si="11"/>
        <v>189.0916</v>
      </c>
      <c r="J13" s="84">
        <f t="shared" si="12"/>
        <v>189.0916</v>
      </c>
      <c r="K13" s="85">
        <v>0</v>
      </c>
      <c r="L13" s="85">
        <f>136.7516+41.3</f>
        <v>178.0516</v>
      </c>
      <c r="M13" s="85">
        <f>8.562+2.478</f>
        <v>11.04</v>
      </c>
      <c r="N13" s="128">
        <f t="shared" si="13"/>
        <v>603.79</v>
      </c>
      <c r="O13" s="128">
        <f t="shared" si="14"/>
        <v>603.79</v>
      </c>
      <c r="P13" s="89">
        <v>0</v>
      </c>
      <c r="Q13" s="129">
        <v>573.56</v>
      </c>
      <c r="R13" s="129">
        <v>30.23</v>
      </c>
      <c r="S13" s="81">
        <f t="shared" si="4"/>
        <v>0</v>
      </c>
      <c r="T13" s="82">
        <v>0</v>
      </c>
      <c r="U13" s="82">
        <v>0</v>
      </c>
      <c r="V13" s="82">
        <v>0</v>
      </c>
      <c r="W13" s="81">
        <f t="shared" si="5"/>
        <v>0</v>
      </c>
      <c r="X13" s="82">
        <v>0</v>
      </c>
      <c r="Y13" s="82">
        <v>0</v>
      </c>
      <c r="Z13" s="82"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23.25" customHeight="1">
      <c r="A14" s="19"/>
      <c r="B14" s="106" t="s">
        <v>63</v>
      </c>
      <c r="C14" s="80" t="s">
        <v>52</v>
      </c>
      <c r="D14" s="81">
        <f t="shared" si="6"/>
        <v>0</v>
      </c>
      <c r="E14" s="82">
        <f t="shared" si="7"/>
        <v>0</v>
      </c>
      <c r="F14" s="83">
        <f t="shared" si="8"/>
        <v>0</v>
      </c>
      <c r="G14" s="83">
        <f t="shared" si="9"/>
        <v>0</v>
      </c>
      <c r="H14" s="83">
        <f t="shared" si="10"/>
        <v>0</v>
      </c>
      <c r="I14" s="84">
        <f t="shared" si="11"/>
        <v>0</v>
      </c>
      <c r="J14" s="84">
        <f t="shared" si="12"/>
        <v>0</v>
      </c>
      <c r="K14" s="85">
        <v>0</v>
      </c>
      <c r="L14" s="85">
        <v>0</v>
      </c>
      <c r="M14" s="85">
        <v>0</v>
      </c>
      <c r="N14" s="128">
        <f t="shared" si="13"/>
        <v>0</v>
      </c>
      <c r="O14" s="128">
        <f t="shared" si="14"/>
        <v>0</v>
      </c>
      <c r="P14" s="82">
        <v>0</v>
      </c>
      <c r="Q14" s="129">
        <v>0</v>
      </c>
      <c r="R14" s="129">
        <v>0</v>
      </c>
      <c r="S14" s="81">
        <f t="shared" si="4"/>
        <v>0</v>
      </c>
      <c r="T14" s="82">
        <v>0</v>
      </c>
      <c r="U14" s="82">
        <v>0</v>
      </c>
      <c r="V14" s="82">
        <v>0</v>
      </c>
      <c r="W14" s="81">
        <f t="shared" si="5"/>
        <v>0</v>
      </c>
      <c r="X14" s="82">
        <v>0</v>
      </c>
      <c r="Y14" s="82">
        <v>0</v>
      </c>
      <c r="Z14" s="82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48" customHeight="1">
      <c r="A15" s="18" t="s">
        <v>4</v>
      </c>
      <c r="B15" s="107" t="s">
        <v>48</v>
      </c>
      <c r="C15" s="95" t="s">
        <v>52</v>
      </c>
      <c r="D15" s="81">
        <f t="shared" si="6"/>
        <v>628.20235</v>
      </c>
      <c r="E15" s="82">
        <f t="shared" si="7"/>
        <v>0</v>
      </c>
      <c r="F15" s="83">
        <f t="shared" si="8"/>
        <v>0</v>
      </c>
      <c r="G15" s="83">
        <f t="shared" si="9"/>
        <v>0</v>
      </c>
      <c r="H15" s="83">
        <f t="shared" si="10"/>
        <v>628.20235</v>
      </c>
      <c r="I15" s="84">
        <f t="shared" si="11"/>
        <v>178.20235</v>
      </c>
      <c r="J15" s="84">
        <f t="shared" si="12"/>
        <v>178.20235</v>
      </c>
      <c r="K15" s="85">
        <v>0</v>
      </c>
      <c r="L15" s="85">
        <v>0</v>
      </c>
      <c r="M15" s="89">
        <f>383.5249-205.32255</f>
        <v>178.20235</v>
      </c>
      <c r="N15" s="128">
        <f t="shared" si="13"/>
        <v>450</v>
      </c>
      <c r="O15" s="128">
        <f t="shared" si="14"/>
        <v>450</v>
      </c>
      <c r="P15" s="82">
        <v>0</v>
      </c>
      <c r="Q15" s="129">
        <v>0</v>
      </c>
      <c r="R15" s="129">
        <v>450</v>
      </c>
      <c r="S15" s="81">
        <f t="shared" si="4"/>
        <v>0</v>
      </c>
      <c r="T15" s="82">
        <v>0</v>
      </c>
      <c r="U15" s="82">
        <v>0</v>
      </c>
      <c r="V15" s="82">
        <v>0</v>
      </c>
      <c r="W15" s="81">
        <f t="shared" si="5"/>
        <v>0</v>
      </c>
      <c r="X15" s="82">
        <v>0</v>
      </c>
      <c r="Y15" s="82">
        <v>0</v>
      </c>
      <c r="Z15" s="82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26.25" customHeight="1">
      <c r="A16" s="18" t="s">
        <v>28</v>
      </c>
      <c r="B16" s="115" t="s">
        <v>54</v>
      </c>
      <c r="C16" s="80" t="s">
        <v>97</v>
      </c>
      <c r="D16" s="81">
        <f t="shared" si="6"/>
        <v>0</v>
      </c>
      <c r="E16" s="82">
        <f t="shared" si="7"/>
        <v>0</v>
      </c>
      <c r="F16" s="83">
        <f t="shared" si="8"/>
        <v>0</v>
      </c>
      <c r="G16" s="83">
        <f t="shared" si="9"/>
        <v>0</v>
      </c>
      <c r="H16" s="83">
        <f t="shared" si="10"/>
        <v>0</v>
      </c>
      <c r="I16" s="84">
        <f t="shared" si="11"/>
        <v>0</v>
      </c>
      <c r="J16" s="84">
        <f t="shared" si="12"/>
        <v>0</v>
      </c>
      <c r="K16" s="85">
        <v>0</v>
      </c>
      <c r="L16" s="85">
        <v>0</v>
      </c>
      <c r="M16" s="85">
        <v>0</v>
      </c>
      <c r="N16" s="128">
        <f t="shared" si="13"/>
        <v>0</v>
      </c>
      <c r="O16" s="128">
        <f t="shared" si="14"/>
        <v>0</v>
      </c>
      <c r="P16" s="82">
        <v>0</v>
      </c>
      <c r="Q16" s="129">
        <v>0</v>
      </c>
      <c r="R16" s="129">
        <v>0</v>
      </c>
      <c r="S16" s="81">
        <f t="shared" si="4"/>
        <v>0</v>
      </c>
      <c r="T16" s="82">
        <v>0</v>
      </c>
      <c r="U16" s="82">
        <v>0</v>
      </c>
      <c r="V16" s="82">
        <v>0</v>
      </c>
      <c r="W16" s="81">
        <f t="shared" si="5"/>
        <v>0</v>
      </c>
      <c r="X16" s="82">
        <v>0</v>
      </c>
      <c r="Y16" s="82">
        <v>0</v>
      </c>
      <c r="Z16" s="82"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23.25" customHeight="1">
      <c r="A17" s="18" t="s">
        <v>29</v>
      </c>
      <c r="B17" s="115" t="s">
        <v>55</v>
      </c>
      <c r="C17" s="80" t="s">
        <v>96</v>
      </c>
      <c r="D17" s="81">
        <f t="shared" si="6"/>
        <v>0</v>
      </c>
      <c r="E17" s="82">
        <f t="shared" si="7"/>
        <v>0</v>
      </c>
      <c r="F17" s="83">
        <f t="shared" si="8"/>
        <v>0</v>
      </c>
      <c r="G17" s="83">
        <f t="shared" si="9"/>
        <v>0</v>
      </c>
      <c r="H17" s="83">
        <f t="shared" si="10"/>
        <v>0</v>
      </c>
      <c r="I17" s="84">
        <f t="shared" si="11"/>
        <v>0</v>
      </c>
      <c r="J17" s="84">
        <f t="shared" si="12"/>
        <v>0</v>
      </c>
      <c r="K17" s="85">
        <v>0</v>
      </c>
      <c r="L17" s="85">
        <v>0</v>
      </c>
      <c r="M17" s="85">
        <v>0</v>
      </c>
      <c r="N17" s="128">
        <f t="shared" si="13"/>
        <v>0</v>
      </c>
      <c r="O17" s="128">
        <f t="shared" si="14"/>
        <v>0</v>
      </c>
      <c r="P17" s="82">
        <v>0</v>
      </c>
      <c r="Q17" s="82">
        <v>0</v>
      </c>
      <c r="R17" s="82">
        <v>0</v>
      </c>
      <c r="S17" s="81">
        <f t="shared" si="4"/>
        <v>0</v>
      </c>
      <c r="T17" s="82">
        <v>0</v>
      </c>
      <c r="U17" s="82">
        <v>0</v>
      </c>
      <c r="V17" s="82">
        <v>0</v>
      </c>
      <c r="W17" s="81">
        <f t="shared" si="5"/>
        <v>0</v>
      </c>
      <c r="X17" s="82">
        <v>0</v>
      </c>
      <c r="Y17" s="82">
        <v>0</v>
      </c>
      <c r="Z17" s="82"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48" customHeight="1">
      <c r="A18" s="18" t="s">
        <v>7</v>
      </c>
      <c r="B18" s="115" t="s">
        <v>56</v>
      </c>
      <c r="C18" s="80" t="s">
        <v>97</v>
      </c>
      <c r="D18" s="81">
        <f t="shared" si="6"/>
        <v>39.62923</v>
      </c>
      <c r="E18" s="82">
        <f t="shared" si="7"/>
        <v>0</v>
      </c>
      <c r="F18" s="83">
        <f t="shared" si="8"/>
        <v>0</v>
      </c>
      <c r="G18" s="83">
        <f t="shared" si="9"/>
        <v>0</v>
      </c>
      <c r="H18" s="83">
        <f t="shared" si="10"/>
        <v>39.62923</v>
      </c>
      <c r="I18" s="84">
        <f t="shared" si="11"/>
        <v>39.62923</v>
      </c>
      <c r="J18" s="84">
        <f t="shared" si="12"/>
        <v>39.62923</v>
      </c>
      <c r="K18" s="85">
        <v>0</v>
      </c>
      <c r="L18" s="85">
        <v>0</v>
      </c>
      <c r="M18" s="85">
        <v>39.62923</v>
      </c>
      <c r="N18" s="128">
        <f t="shared" si="13"/>
        <v>0</v>
      </c>
      <c r="O18" s="128">
        <f t="shared" si="14"/>
        <v>0</v>
      </c>
      <c r="P18" s="82">
        <v>0</v>
      </c>
      <c r="Q18" s="82">
        <v>0</v>
      </c>
      <c r="R18" s="82">
        <v>0</v>
      </c>
      <c r="S18" s="81">
        <f t="shared" si="4"/>
        <v>0</v>
      </c>
      <c r="T18" s="82">
        <v>0</v>
      </c>
      <c r="U18" s="82">
        <v>0</v>
      </c>
      <c r="V18" s="82">
        <v>0</v>
      </c>
      <c r="W18" s="81">
        <f t="shared" si="5"/>
        <v>0</v>
      </c>
      <c r="X18" s="82">
        <v>0</v>
      </c>
      <c r="Y18" s="82">
        <v>0</v>
      </c>
      <c r="Z18" s="82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22.5" customHeight="1">
      <c r="A19" s="18" t="s">
        <v>53</v>
      </c>
      <c r="B19" s="116" t="s">
        <v>57</v>
      </c>
      <c r="C19" s="80" t="s">
        <v>52</v>
      </c>
      <c r="D19" s="81">
        <f>SUM(E19:H19)</f>
        <v>30</v>
      </c>
      <c r="E19" s="82">
        <f t="shared" si="7"/>
        <v>0</v>
      </c>
      <c r="F19" s="83">
        <f t="shared" si="8"/>
        <v>0</v>
      </c>
      <c r="G19" s="83">
        <f t="shared" si="9"/>
        <v>0</v>
      </c>
      <c r="H19" s="83">
        <f>J19+O19</f>
        <v>30</v>
      </c>
      <c r="I19" s="84">
        <f t="shared" si="11"/>
        <v>30</v>
      </c>
      <c r="J19" s="84">
        <f t="shared" si="12"/>
        <v>30</v>
      </c>
      <c r="K19" s="85">
        <v>0</v>
      </c>
      <c r="L19" s="85">
        <v>0</v>
      </c>
      <c r="M19" s="85">
        <f>320-290</f>
        <v>30</v>
      </c>
      <c r="N19" s="128">
        <f t="shared" si="13"/>
        <v>0</v>
      </c>
      <c r="O19" s="128">
        <f t="shared" si="14"/>
        <v>0</v>
      </c>
      <c r="P19" s="82">
        <v>0</v>
      </c>
      <c r="Q19" s="82">
        <v>0</v>
      </c>
      <c r="R19" s="82">
        <v>0</v>
      </c>
      <c r="S19" s="81">
        <f t="shared" si="4"/>
        <v>0</v>
      </c>
      <c r="T19" s="82">
        <v>0</v>
      </c>
      <c r="U19" s="82">
        <v>0</v>
      </c>
      <c r="V19" s="82">
        <v>0</v>
      </c>
      <c r="W19" s="81">
        <f t="shared" si="5"/>
        <v>0</v>
      </c>
      <c r="X19" s="82">
        <v>0</v>
      </c>
      <c r="Y19" s="82">
        <v>0</v>
      </c>
      <c r="Z19" s="82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36.75" customHeight="1">
      <c r="A20" s="18" t="s">
        <v>135</v>
      </c>
      <c r="B20" s="116" t="s">
        <v>134</v>
      </c>
      <c r="C20" s="80" t="s">
        <v>52</v>
      </c>
      <c r="D20" s="81">
        <f>SUM(E20:H20)</f>
        <v>394.54273</v>
      </c>
      <c r="E20" s="82">
        <f>T20</f>
        <v>0</v>
      </c>
      <c r="F20" s="83">
        <f>U20</f>
        <v>0</v>
      </c>
      <c r="G20" s="83">
        <f>V20</f>
        <v>0</v>
      </c>
      <c r="H20" s="83">
        <f>J20+O20</f>
        <v>394.54273</v>
      </c>
      <c r="I20" s="84">
        <f>J20</f>
        <v>0</v>
      </c>
      <c r="J20" s="84">
        <f>SUM(K20:M20)</f>
        <v>0</v>
      </c>
      <c r="K20" s="85">
        <v>0</v>
      </c>
      <c r="L20" s="85">
        <v>0</v>
      </c>
      <c r="M20" s="85">
        <v>0</v>
      </c>
      <c r="N20" s="128">
        <f>O20</f>
        <v>394.54273</v>
      </c>
      <c r="O20" s="128">
        <f>SUM(P20:R20)</f>
        <v>394.54273</v>
      </c>
      <c r="P20" s="82">
        <v>0</v>
      </c>
      <c r="Q20" s="82">
        <v>0</v>
      </c>
      <c r="R20" s="82">
        <v>394.54273</v>
      </c>
      <c r="S20" s="81">
        <f>T20+U20+V20</f>
        <v>0</v>
      </c>
      <c r="T20" s="82">
        <v>0</v>
      </c>
      <c r="U20" s="82">
        <v>0</v>
      </c>
      <c r="V20" s="82">
        <v>0</v>
      </c>
      <c r="W20" s="81">
        <f>X20+Y20+Z20</f>
        <v>0</v>
      </c>
      <c r="X20" s="82">
        <v>0</v>
      </c>
      <c r="Y20" s="82">
        <v>0</v>
      </c>
      <c r="Z20" s="82">
        <v>0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35.25" customHeight="1">
      <c r="A21" s="24"/>
      <c r="B21" s="98" t="s">
        <v>117</v>
      </c>
      <c r="C21" s="25"/>
      <c r="D21" s="76">
        <f aca="true" t="shared" si="15" ref="D21:Z21">D22+D45</f>
        <v>29573.591729999996</v>
      </c>
      <c r="E21" s="76">
        <f t="shared" si="15"/>
        <v>0</v>
      </c>
      <c r="F21" s="76">
        <f t="shared" si="15"/>
        <v>0</v>
      </c>
      <c r="G21" s="76">
        <f t="shared" si="15"/>
        <v>0</v>
      </c>
      <c r="H21" s="76">
        <f t="shared" si="15"/>
        <v>29573.591729999996</v>
      </c>
      <c r="I21" s="76">
        <f t="shared" si="15"/>
        <v>6410.539100000001</v>
      </c>
      <c r="J21" s="76">
        <f t="shared" si="15"/>
        <v>6410.539100000001</v>
      </c>
      <c r="K21" s="76">
        <f t="shared" si="15"/>
        <v>4260.27857</v>
      </c>
      <c r="L21" s="76">
        <f t="shared" si="15"/>
        <v>629.59209</v>
      </c>
      <c r="M21" s="76">
        <f t="shared" si="15"/>
        <v>1520.6684400000001</v>
      </c>
      <c r="N21" s="76">
        <f>N22+N45</f>
        <v>23163.05263</v>
      </c>
      <c r="O21" s="76">
        <f t="shared" si="15"/>
        <v>23163.05263</v>
      </c>
      <c r="P21" s="76">
        <f t="shared" si="15"/>
        <v>0</v>
      </c>
      <c r="Q21" s="76">
        <f t="shared" si="15"/>
        <v>21909.899999999998</v>
      </c>
      <c r="R21" s="76">
        <f>R22+R45</f>
        <v>1253.15263</v>
      </c>
      <c r="S21" s="76">
        <f t="shared" si="15"/>
        <v>0</v>
      </c>
      <c r="T21" s="76">
        <f t="shared" si="15"/>
        <v>0</v>
      </c>
      <c r="U21" s="76">
        <f t="shared" si="15"/>
        <v>0</v>
      </c>
      <c r="V21" s="76">
        <f t="shared" si="15"/>
        <v>0</v>
      </c>
      <c r="W21" s="76">
        <f t="shared" si="15"/>
        <v>0</v>
      </c>
      <c r="X21" s="76">
        <f t="shared" si="15"/>
        <v>0</v>
      </c>
      <c r="Y21" s="76">
        <f t="shared" si="15"/>
        <v>0</v>
      </c>
      <c r="Z21" s="76">
        <f t="shared" si="15"/>
        <v>0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8" customFormat="1" ht="23.25" customHeight="1">
      <c r="A22" s="26" t="s">
        <v>8</v>
      </c>
      <c r="B22" s="102" t="s">
        <v>68</v>
      </c>
      <c r="C22" s="87"/>
      <c r="D22" s="88">
        <f>SUM(D33)+D41+D42+D43+D44</f>
        <v>25100.299229999997</v>
      </c>
      <c r="E22" s="88">
        <f>SUM(E33)+E41+E42+E43</f>
        <v>0</v>
      </c>
      <c r="F22" s="88">
        <f>SUM(F33)+F41+F42+F43</f>
        <v>0</v>
      </c>
      <c r="G22" s="88">
        <f>SUM(G33)+G41+G42+G43</f>
        <v>0</v>
      </c>
      <c r="H22" s="88">
        <f>SUM(H33)+H41+H42+H43+H44</f>
        <v>25100.299229999997</v>
      </c>
      <c r="I22" s="88">
        <f>SUM(I33:I43)</f>
        <v>1937.2466000000002</v>
      </c>
      <c r="J22" s="88">
        <f>SUM(J33:J43)</f>
        <v>1937.2466000000002</v>
      </c>
      <c r="K22" s="88">
        <f>SUM(K33:K43)</f>
        <v>0</v>
      </c>
      <c r="L22" s="88">
        <f>SUM(L33:L43)</f>
        <v>629.59209</v>
      </c>
      <c r="M22" s="88">
        <f>SUM(M33:M43)</f>
        <v>1307.65451</v>
      </c>
      <c r="N22" s="88">
        <f>N33+N41+N42+N43+N44</f>
        <v>23163.05263</v>
      </c>
      <c r="O22" s="88">
        <f>O33+O41+O42+O43+O44</f>
        <v>23163.05263</v>
      </c>
      <c r="P22" s="88">
        <f>P33+P41+P42+P43+P44</f>
        <v>0</v>
      </c>
      <c r="Q22" s="88">
        <f>Q33+Q41+Q42+Q43+Q44</f>
        <v>21909.899999999998</v>
      </c>
      <c r="R22" s="88">
        <f>R33+R41+R42+R43+R44</f>
        <v>1253.15263</v>
      </c>
      <c r="S22" s="88">
        <f aca="true" t="shared" si="16" ref="S22:Z22">SUM(S33:S43)</f>
        <v>0</v>
      </c>
      <c r="T22" s="88">
        <f t="shared" si="16"/>
        <v>0</v>
      </c>
      <c r="U22" s="88">
        <f t="shared" si="16"/>
        <v>0</v>
      </c>
      <c r="V22" s="88">
        <f t="shared" si="16"/>
        <v>0</v>
      </c>
      <c r="W22" s="88">
        <f t="shared" si="16"/>
        <v>0</v>
      </c>
      <c r="X22" s="88">
        <f t="shared" si="16"/>
        <v>0</v>
      </c>
      <c r="Y22" s="88">
        <f t="shared" si="16"/>
        <v>0</v>
      </c>
      <c r="Z22" s="88">
        <f t="shared" si="16"/>
        <v>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0.75" customHeight="1" hidden="1">
      <c r="A23" s="10"/>
      <c r="B23" s="117" t="s">
        <v>15</v>
      </c>
      <c r="C23" s="86"/>
      <c r="D23" s="81"/>
      <c r="E23" s="81"/>
      <c r="F23" s="81"/>
      <c r="G23" s="81"/>
      <c r="H23" s="81"/>
      <c r="I23" s="84"/>
      <c r="J23" s="84"/>
      <c r="K23" s="85"/>
      <c r="L23" s="85"/>
      <c r="M23" s="85"/>
      <c r="N23" s="81"/>
      <c r="O23" s="81"/>
      <c r="P23" s="82"/>
      <c r="Q23" s="82"/>
      <c r="R23" s="82"/>
      <c r="S23" s="81"/>
      <c r="T23" s="82"/>
      <c r="U23" s="82"/>
      <c r="V23" s="82"/>
      <c r="W23" s="81"/>
      <c r="X23" s="82"/>
      <c r="Y23" s="82"/>
      <c r="Z23" s="8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55.5" customHeight="1" hidden="1">
      <c r="A24" s="10"/>
      <c r="B24" s="118" t="s">
        <v>16</v>
      </c>
      <c r="C24" s="86"/>
      <c r="D24" s="81"/>
      <c r="E24" s="81"/>
      <c r="F24" s="81"/>
      <c r="G24" s="81"/>
      <c r="H24" s="81"/>
      <c r="I24" s="84"/>
      <c r="J24" s="84"/>
      <c r="K24" s="85"/>
      <c r="L24" s="85"/>
      <c r="M24" s="85"/>
      <c r="N24" s="81"/>
      <c r="O24" s="81"/>
      <c r="P24" s="82"/>
      <c r="Q24" s="82"/>
      <c r="R24" s="82"/>
      <c r="S24" s="81"/>
      <c r="T24" s="82"/>
      <c r="U24" s="82"/>
      <c r="V24" s="82"/>
      <c r="W24" s="81"/>
      <c r="X24" s="82"/>
      <c r="Y24" s="82"/>
      <c r="Z24" s="8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30.5" customHeight="1" hidden="1">
      <c r="A25" s="10"/>
      <c r="B25" s="117" t="s">
        <v>17</v>
      </c>
      <c r="C25" s="86"/>
      <c r="D25" s="81"/>
      <c r="E25" s="81"/>
      <c r="F25" s="81"/>
      <c r="G25" s="81"/>
      <c r="H25" s="81"/>
      <c r="I25" s="84"/>
      <c r="J25" s="84"/>
      <c r="K25" s="85"/>
      <c r="L25" s="85"/>
      <c r="M25" s="85"/>
      <c r="N25" s="81"/>
      <c r="O25" s="81"/>
      <c r="P25" s="82"/>
      <c r="Q25" s="82"/>
      <c r="R25" s="82"/>
      <c r="S25" s="81"/>
      <c r="T25" s="82"/>
      <c r="U25" s="82"/>
      <c r="V25" s="82"/>
      <c r="W25" s="81"/>
      <c r="X25" s="82"/>
      <c r="Y25" s="82"/>
      <c r="Z25" s="8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43.5" customHeight="1" hidden="1">
      <c r="A26" s="10"/>
      <c r="B26" s="105" t="s">
        <v>18</v>
      </c>
      <c r="C26" s="86"/>
      <c r="D26" s="81"/>
      <c r="E26" s="81"/>
      <c r="F26" s="81"/>
      <c r="G26" s="81"/>
      <c r="H26" s="81"/>
      <c r="I26" s="84"/>
      <c r="J26" s="84"/>
      <c r="K26" s="85"/>
      <c r="L26" s="85"/>
      <c r="M26" s="85"/>
      <c r="N26" s="81"/>
      <c r="O26" s="81"/>
      <c r="P26" s="82"/>
      <c r="Q26" s="82"/>
      <c r="R26" s="82"/>
      <c r="S26" s="81"/>
      <c r="T26" s="82"/>
      <c r="U26" s="82"/>
      <c r="V26" s="82"/>
      <c r="W26" s="81"/>
      <c r="X26" s="82"/>
      <c r="Y26" s="82"/>
      <c r="Z26" s="8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39" customHeight="1" hidden="1">
      <c r="A27" s="21"/>
      <c r="B27" s="105" t="s">
        <v>19</v>
      </c>
      <c r="C27" s="86"/>
      <c r="D27" s="81"/>
      <c r="E27" s="81"/>
      <c r="F27" s="81"/>
      <c r="G27" s="81"/>
      <c r="H27" s="81"/>
      <c r="I27" s="84"/>
      <c r="J27" s="84"/>
      <c r="K27" s="85"/>
      <c r="L27" s="85"/>
      <c r="M27" s="85"/>
      <c r="N27" s="81"/>
      <c r="O27" s="81"/>
      <c r="P27" s="82"/>
      <c r="Q27" s="82"/>
      <c r="R27" s="82"/>
      <c r="S27" s="81"/>
      <c r="T27" s="82"/>
      <c r="U27" s="82"/>
      <c r="V27" s="82"/>
      <c r="W27" s="81"/>
      <c r="X27" s="82"/>
      <c r="Y27" s="82"/>
      <c r="Z27" s="8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46.5" customHeight="1" hidden="1">
      <c r="A28" s="10"/>
      <c r="B28" s="105" t="s">
        <v>20</v>
      </c>
      <c r="C28" s="86"/>
      <c r="D28" s="81"/>
      <c r="E28" s="81"/>
      <c r="F28" s="81"/>
      <c r="G28" s="81"/>
      <c r="H28" s="81"/>
      <c r="I28" s="84"/>
      <c r="J28" s="84"/>
      <c r="K28" s="85"/>
      <c r="L28" s="85"/>
      <c r="M28" s="85"/>
      <c r="N28" s="81"/>
      <c r="O28" s="81"/>
      <c r="P28" s="82"/>
      <c r="Q28" s="82"/>
      <c r="R28" s="82"/>
      <c r="S28" s="81"/>
      <c r="T28" s="82"/>
      <c r="U28" s="82"/>
      <c r="V28" s="82"/>
      <c r="W28" s="81"/>
      <c r="X28" s="82"/>
      <c r="Y28" s="82"/>
      <c r="Z28" s="8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84" customHeight="1" hidden="1">
      <c r="A29" s="10"/>
      <c r="B29" s="105" t="s">
        <v>27</v>
      </c>
      <c r="C29" s="86"/>
      <c r="D29" s="81"/>
      <c r="E29" s="81"/>
      <c r="F29" s="81"/>
      <c r="G29" s="81"/>
      <c r="H29" s="81"/>
      <c r="I29" s="84"/>
      <c r="J29" s="84"/>
      <c r="K29" s="85"/>
      <c r="L29" s="85"/>
      <c r="M29" s="85"/>
      <c r="N29" s="81"/>
      <c r="O29" s="81"/>
      <c r="P29" s="82"/>
      <c r="Q29" s="82"/>
      <c r="R29" s="82"/>
      <c r="S29" s="81"/>
      <c r="T29" s="82"/>
      <c r="U29" s="82"/>
      <c r="V29" s="82"/>
      <c r="W29" s="81"/>
      <c r="X29" s="82"/>
      <c r="Y29" s="82"/>
      <c r="Z29" s="8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48.75" customHeight="1" hidden="1">
      <c r="A30" s="10"/>
      <c r="B30" s="105" t="s">
        <v>21</v>
      </c>
      <c r="C30" s="86"/>
      <c r="D30" s="81"/>
      <c r="E30" s="81"/>
      <c r="F30" s="81"/>
      <c r="G30" s="81"/>
      <c r="H30" s="81"/>
      <c r="I30" s="84"/>
      <c r="J30" s="84"/>
      <c r="K30" s="85"/>
      <c r="L30" s="85"/>
      <c r="M30" s="85"/>
      <c r="N30" s="81"/>
      <c r="O30" s="81"/>
      <c r="P30" s="82"/>
      <c r="Q30" s="82"/>
      <c r="R30" s="82"/>
      <c r="S30" s="81"/>
      <c r="T30" s="82"/>
      <c r="U30" s="82"/>
      <c r="V30" s="82"/>
      <c r="W30" s="81"/>
      <c r="X30" s="82"/>
      <c r="Y30" s="82"/>
      <c r="Z30" s="8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24" customHeight="1" hidden="1">
      <c r="A31" s="11"/>
      <c r="B31" s="105" t="s">
        <v>5</v>
      </c>
      <c r="C31" s="86"/>
      <c r="D31" s="81"/>
      <c r="E31" s="81"/>
      <c r="F31" s="81"/>
      <c r="G31" s="81"/>
      <c r="H31" s="81"/>
      <c r="I31" s="84"/>
      <c r="J31" s="84"/>
      <c r="K31" s="85"/>
      <c r="L31" s="85"/>
      <c r="M31" s="85"/>
      <c r="N31" s="81"/>
      <c r="O31" s="81"/>
      <c r="P31" s="82"/>
      <c r="Q31" s="82"/>
      <c r="R31" s="82"/>
      <c r="S31" s="81"/>
      <c r="T31" s="82"/>
      <c r="U31" s="82"/>
      <c r="V31" s="82"/>
      <c r="W31" s="81"/>
      <c r="X31" s="82"/>
      <c r="Y31" s="82"/>
      <c r="Z31" s="8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24" customHeight="1" hidden="1">
      <c r="A32" s="11"/>
      <c r="B32" s="105" t="s">
        <v>6</v>
      </c>
      <c r="C32" s="86"/>
      <c r="D32" s="81"/>
      <c r="E32" s="81"/>
      <c r="F32" s="81"/>
      <c r="G32" s="81"/>
      <c r="H32" s="81"/>
      <c r="I32" s="84"/>
      <c r="J32" s="84"/>
      <c r="K32" s="85"/>
      <c r="L32" s="85"/>
      <c r="M32" s="85"/>
      <c r="N32" s="81"/>
      <c r="O32" s="81"/>
      <c r="P32" s="82"/>
      <c r="Q32" s="82"/>
      <c r="R32" s="82"/>
      <c r="S32" s="81"/>
      <c r="T32" s="82"/>
      <c r="U32" s="82"/>
      <c r="V32" s="82"/>
      <c r="W32" s="81"/>
      <c r="X32" s="82"/>
      <c r="Y32" s="82"/>
      <c r="Z32" s="8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48">
      <c r="A33" s="27" t="s">
        <v>9</v>
      </c>
      <c r="B33" s="115" t="s">
        <v>58</v>
      </c>
      <c r="C33" s="80" t="s">
        <v>52</v>
      </c>
      <c r="D33" s="81">
        <f>SUM(E33:H33)</f>
        <v>23725.781229999997</v>
      </c>
      <c r="E33" s="82">
        <f>T33</f>
        <v>0</v>
      </c>
      <c r="F33" s="83">
        <f>U33</f>
        <v>0</v>
      </c>
      <c r="G33" s="83">
        <f>V33</f>
        <v>0</v>
      </c>
      <c r="H33" s="83">
        <f aca="true" t="shared" si="17" ref="H33:H44">J33+O33</f>
        <v>23725.781229999997</v>
      </c>
      <c r="I33" s="84">
        <f aca="true" t="shared" si="18" ref="I33:I42">J33</f>
        <v>662.7286</v>
      </c>
      <c r="J33" s="84">
        <f>SUM(K33:M33)</f>
        <v>662.7286</v>
      </c>
      <c r="K33" s="85">
        <v>0</v>
      </c>
      <c r="L33" s="85">
        <f>637.29126-7.69917</f>
        <v>629.59209</v>
      </c>
      <c r="M33" s="85">
        <f>33.54173-0.40522</f>
        <v>33.13651</v>
      </c>
      <c r="N33" s="81">
        <f>O33</f>
        <v>23063.05263</v>
      </c>
      <c r="O33" s="81">
        <f>SUM(P33:R33)</f>
        <v>23063.05263</v>
      </c>
      <c r="P33" s="82">
        <v>0</v>
      </c>
      <c r="Q33" s="82">
        <f>Q34+Q35+Q36+Q37+Q39+Q40</f>
        <v>21909.899999999998</v>
      </c>
      <c r="R33" s="82">
        <f>R34+R35+R36+R37+R39+R40</f>
        <v>1153.15263</v>
      </c>
      <c r="S33" s="81">
        <f aca="true" t="shared" si="19" ref="S33:S43">T33+U33+V33</f>
        <v>0</v>
      </c>
      <c r="T33" s="82">
        <v>0</v>
      </c>
      <c r="U33" s="82">
        <v>0</v>
      </c>
      <c r="V33" s="82">
        <v>0</v>
      </c>
      <c r="W33" s="81">
        <f aca="true" t="shared" si="20" ref="W33:W43">X33+Y33+Z33</f>
        <v>0</v>
      </c>
      <c r="X33" s="82">
        <v>0</v>
      </c>
      <c r="Y33" s="82">
        <v>0</v>
      </c>
      <c r="Z33" s="82"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26" s="3" customFormat="1" ht="24">
      <c r="A34" s="144"/>
      <c r="B34" s="138" t="s">
        <v>102</v>
      </c>
      <c r="C34" s="145" t="s">
        <v>52</v>
      </c>
      <c r="D34" s="84">
        <f aca="true" t="shared" si="21" ref="D34:D44">SUM(E34:H34)</f>
        <v>2734.22495</v>
      </c>
      <c r="E34" s="85">
        <f aca="true" t="shared" si="22" ref="E34:E44">T34</f>
        <v>0</v>
      </c>
      <c r="F34" s="146">
        <f aca="true" t="shared" si="23" ref="F34:F44">U34</f>
        <v>0</v>
      </c>
      <c r="G34" s="146">
        <f aca="true" t="shared" si="24" ref="G34:G44">V34</f>
        <v>0</v>
      </c>
      <c r="H34" s="146">
        <f t="shared" si="17"/>
        <v>2734.22495</v>
      </c>
      <c r="I34" s="84">
        <f t="shared" si="18"/>
        <v>0</v>
      </c>
      <c r="J34" s="84">
        <f aca="true" t="shared" si="25" ref="J34:J44">SUM(K34:M34)</f>
        <v>0</v>
      </c>
      <c r="K34" s="85">
        <v>0</v>
      </c>
      <c r="L34" s="85">
        <v>0</v>
      </c>
      <c r="M34" s="85">
        <v>0</v>
      </c>
      <c r="N34" s="81">
        <f aca="true" t="shared" si="26" ref="N34:N44">O34</f>
        <v>2734.22495</v>
      </c>
      <c r="O34" s="84">
        <f>SUM(P34:R34)</f>
        <v>2734.22495</v>
      </c>
      <c r="P34" s="85">
        <v>0</v>
      </c>
      <c r="Q34" s="85">
        <f>3440.42-842.9063</f>
        <v>2597.5137</v>
      </c>
      <c r="R34" s="85">
        <f>181.07-44.35875</f>
        <v>136.71125</v>
      </c>
      <c r="S34" s="84">
        <f t="shared" si="19"/>
        <v>0</v>
      </c>
      <c r="T34" s="85">
        <v>0</v>
      </c>
      <c r="U34" s="85">
        <v>0</v>
      </c>
      <c r="V34" s="85">
        <v>0</v>
      </c>
      <c r="W34" s="84">
        <f t="shared" si="20"/>
        <v>0</v>
      </c>
      <c r="X34" s="85">
        <v>0</v>
      </c>
      <c r="Y34" s="85">
        <v>0</v>
      </c>
      <c r="Z34" s="85">
        <v>0</v>
      </c>
    </row>
    <row r="35" spans="1:26" s="3" customFormat="1" ht="24">
      <c r="A35" s="144"/>
      <c r="B35" s="114" t="s">
        <v>103</v>
      </c>
      <c r="C35" s="145" t="s">
        <v>52</v>
      </c>
      <c r="D35" s="84">
        <f t="shared" si="21"/>
        <v>7716.69</v>
      </c>
      <c r="E35" s="85">
        <f t="shared" si="22"/>
        <v>0</v>
      </c>
      <c r="F35" s="146">
        <f t="shared" si="23"/>
        <v>0</v>
      </c>
      <c r="G35" s="146">
        <f t="shared" si="24"/>
        <v>0</v>
      </c>
      <c r="H35" s="146">
        <f t="shared" si="17"/>
        <v>7716.69</v>
      </c>
      <c r="I35" s="84">
        <f t="shared" si="18"/>
        <v>0</v>
      </c>
      <c r="J35" s="84">
        <f t="shared" si="25"/>
        <v>0</v>
      </c>
      <c r="K35" s="85">
        <v>0</v>
      </c>
      <c r="L35" s="85">
        <v>0</v>
      </c>
      <c r="M35" s="85">
        <v>0</v>
      </c>
      <c r="N35" s="81">
        <f t="shared" si="26"/>
        <v>7716.69</v>
      </c>
      <c r="O35" s="84">
        <f aca="true" t="shared" si="27" ref="O35:O44">SUM(P35:R35)</f>
        <v>7716.69</v>
      </c>
      <c r="P35" s="85">
        <v>0</v>
      </c>
      <c r="Q35" s="85">
        <f>7330.86-0.0045</f>
        <v>7330.8555</v>
      </c>
      <c r="R35" s="136">
        <f>385.83+0.0045</f>
        <v>385.8345</v>
      </c>
      <c r="S35" s="84">
        <f t="shared" si="19"/>
        <v>0</v>
      </c>
      <c r="T35" s="85">
        <v>0</v>
      </c>
      <c r="U35" s="85">
        <v>0</v>
      </c>
      <c r="V35" s="85">
        <v>0</v>
      </c>
      <c r="W35" s="84">
        <f t="shared" si="20"/>
        <v>0</v>
      </c>
      <c r="X35" s="85">
        <v>0</v>
      </c>
      <c r="Y35" s="85">
        <v>0</v>
      </c>
      <c r="Z35" s="85">
        <v>0</v>
      </c>
    </row>
    <row r="36" spans="1:26" s="3" customFormat="1" ht="24">
      <c r="A36" s="144"/>
      <c r="B36" s="114" t="s">
        <v>139</v>
      </c>
      <c r="C36" s="145" t="s">
        <v>52</v>
      </c>
      <c r="D36" s="84">
        <f t="shared" si="21"/>
        <v>6874.23219</v>
      </c>
      <c r="E36" s="85">
        <f t="shared" si="22"/>
        <v>0</v>
      </c>
      <c r="F36" s="146">
        <f t="shared" si="23"/>
        <v>0</v>
      </c>
      <c r="G36" s="146">
        <f t="shared" si="24"/>
        <v>0</v>
      </c>
      <c r="H36" s="146">
        <f t="shared" si="17"/>
        <v>6874.23219</v>
      </c>
      <c r="I36" s="84">
        <f t="shared" si="18"/>
        <v>0</v>
      </c>
      <c r="J36" s="84">
        <f t="shared" si="25"/>
        <v>0</v>
      </c>
      <c r="K36" s="85">
        <v>0</v>
      </c>
      <c r="L36" s="85">
        <v>0</v>
      </c>
      <c r="M36" s="85">
        <v>0</v>
      </c>
      <c r="N36" s="81">
        <f t="shared" si="26"/>
        <v>6874.23219</v>
      </c>
      <c r="O36" s="84">
        <f t="shared" si="27"/>
        <v>6874.23219</v>
      </c>
      <c r="P36" s="85">
        <v>0</v>
      </c>
      <c r="Q36" s="85">
        <f>7379.11-848.58942</f>
        <v>6530.520579999999</v>
      </c>
      <c r="R36" s="136">
        <f>388.37+0.014-44.67239</f>
        <v>343.71161</v>
      </c>
      <c r="S36" s="84">
        <f t="shared" si="19"/>
        <v>0</v>
      </c>
      <c r="T36" s="85">
        <v>0</v>
      </c>
      <c r="U36" s="85">
        <v>0</v>
      </c>
      <c r="V36" s="85">
        <v>0</v>
      </c>
      <c r="W36" s="84">
        <f t="shared" si="20"/>
        <v>0</v>
      </c>
      <c r="X36" s="85">
        <v>0</v>
      </c>
      <c r="Y36" s="85">
        <v>0</v>
      </c>
      <c r="Z36" s="85">
        <v>0</v>
      </c>
    </row>
    <row r="37" spans="1:27" s="3" customFormat="1" ht="36">
      <c r="A37" s="144"/>
      <c r="B37" s="114" t="s">
        <v>141</v>
      </c>
      <c r="C37" s="145" t="s">
        <v>52</v>
      </c>
      <c r="D37" s="84">
        <f>SUM(E37:H37)</f>
        <v>3779.29662</v>
      </c>
      <c r="E37" s="85">
        <f t="shared" si="22"/>
        <v>0</v>
      </c>
      <c r="F37" s="146">
        <f t="shared" si="23"/>
        <v>0</v>
      </c>
      <c r="G37" s="146">
        <f t="shared" si="24"/>
        <v>0</v>
      </c>
      <c r="H37" s="146">
        <f t="shared" si="17"/>
        <v>3779.29662</v>
      </c>
      <c r="I37" s="84">
        <f t="shared" si="18"/>
        <v>0</v>
      </c>
      <c r="J37" s="84">
        <f t="shared" si="25"/>
        <v>0</v>
      </c>
      <c r="K37" s="85">
        <v>0</v>
      </c>
      <c r="L37" s="85">
        <v>0</v>
      </c>
      <c r="M37" s="85">
        <v>0</v>
      </c>
      <c r="N37" s="81">
        <f>O37</f>
        <v>3779.29662</v>
      </c>
      <c r="O37" s="84">
        <f>SUM(P37:R37)</f>
        <v>3779.29662</v>
      </c>
      <c r="P37" s="85">
        <v>0</v>
      </c>
      <c r="Q37" s="85">
        <f>3759.51-169.17821</f>
        <v>3590.33179</v>
      </c>
      <c r="R37" s="136">
        <f>197.86863-8.9038</f>
        <v>188.96483</v>
      </c>
      <c r="S37" s="84">
        <f t="shared" si="19"/>
        <v>0</v>
      </c>
      <c r="T37" s="85">
        <v>0</v>
      </c>
      <c r="U37" s="85">
        <v>0</v>
      </c>
      <c r="V37" s="85">
        <v>0</v>
      </c>
      <c r="W37" s="84">
        <f t="shared" si="20"/>
        <v>0</v>
      </c>
      <c r="X37" s="85">
        <v>0</v>
      </c>
      <c r="Y37" s="85">
        <v>0</v>
      </c>
      <c r="Z37" s="85">
        <v>0</v>
      </c>
      <c r="AA37" s="3" t="s">
        <v>126</v>
      </c>
    </row>
    <row r="38" spans="1:26" s="142" customFormat="1" ht="22.5" hidden="1">
      <c r="A38" s="141"/>
      <c r="B38" s="143"/>
      <c r="C38" s="145" t="s">
        <v>52</v>
      </c>
      <c r="D38" s="84">
        <f>SUM(E38:H38)</f>
        <v>3779.29662</v>
      </c>
      <c r="E38" s="85">
        <f t="shared" si="22"/>
        <v>0</v>
      </c>
      <c r="F38" s="146">
        <f t="shared" si="23"/>
        <v>0</v>
      </c>
      <c r="G38" s="146">
        <f t="shared" si="24"/>
        <v>0</v>
      </c>
      <c r="H38" s="146">
        <f t="shared" si="17"/>
        <v>3779.29662</v>
      </c>
      <c r="I38" s="84">
        <f t="shared" si="18"/>
        <v>0</v>
      </c>
      <c r="J38" s="84">
        <f t="shared" si="25"/>
        <v>0</v>
      </c>
      <c r="K38" s="85">
        <v>0</v>
      </c>
      <c r="L38" s="85">
        <v>0</v>
      </c>
      <c r="M38" s="85">
        <v>0</v>
      </c>
      <c r="N38" s="81">
        <f t="shared" si="26"/>
        <v>3779.29662</v>
      </c>
      <c r="O38" s="84">
        <f t="shared" si="27"/>
        <v>3779.29662</v>
      </c>
      <c r="P38" s="85">
        <v>0</v>
      </c>
      <c r="Q38" s="85">
        <f>3759.51-169.17821</f>
        <v>3590.33179</v>
      </c>
      <c r="R38" s="136">
        <f>197.86863-8.9038</f>
        <v>188.96483</v>
      </c>
      <c r="S38" s="84">
        <f t="shared" si="19"/>
        <v>0</v>
      </c>
      <c r="T38" s="85">
        <v>0</v>
      </c>
      <c r="U38" s="85">
        <v>0</v>
      </c>
      <c r="V38" s="85">
        <v>0</v>
      </c>
      <c r="W38" s="84">
        <f t="shared" si="20"/>
        <v>0</v>
      </c>
      <c r="X38" s="85">
        <v>0</v>
      </c>
      <c r="Y38" s="85">
        <v>0</v>
      </c>
      <c r="Z38" s="85">
        <v>0</v>
      </c>
    </row>
    <row r="39" spans="1:26" s="3" customFormat="1" ht="72">
      <c r="A39" s="144"/>
      <c r="B39" s="114" t="s">
        <v>143</v>
      </c>
      <c r="C39" s="145" t="s">
        <v>52</v>
      </c>
      <c r="D39" s="84">
        <f>SUM(E39:H39)</f>
        <v>1383.4988700000001</v>
      </c>
      <c r="E39" s="85">
        <f t="shared" si="22"/>
        <v>0</v>
      </c>
      <c r="F39" s="146">
        <f t="shared" si="23"/>
        <v>0</v>
      </c>
      <c r="G39" s="146">
        <f t="shared" si="24"/>
        <v>0</v>
      </c>
      <c r="H39" s="146">
        <f t="shared" si="17"/>
        <v>1383.4988700000001</v>
      </c>
      <c r="I39" s="84">
        <f t="shared" si="18"/>
        <v>0</v>
      </c>
      <c r="J39" s="84">
        <f t="shared" si="25"/>
        <v>0</v>
      </c>
      <c r="K39" s="85">
        <v>0</v>
      </c>
      <c r="L39" s="85">
        <v>0</v>
      </c>
      <c r="M39" s="85">
        <v>0</v>
      </c>
      <c r="N39" s="81">
        <f t="shared" si="26"/>
        <v>1383.4988700000001</v>
      </c>
      <c r="O39" s="84">
        <f>SUM(P39:R39)</f>
        <v>1383.4988700000001</v>
      </c>
      <c r="P39" s="85">
        <v>0</v>
      </c>
      <c r="Q39" s="85">
        <v>1314.32393</v>
      </c>
      <c r="R39" s="136">
        <v>69.17494</v>
      </c>
      <c r="S39" s="84">
        <f t="shared" si="19"/>
        <v>0</v>
      </c>
      <c r="T39" s="85">
        <v>0</v>
      </c>
      <c r="U39" s="85">
        <v>0</v>
      </c>
      <c r="V39" s="85">
        <v>0</v>
      </c>
      <c r="W39" s="84">
        <f t="shared" si="20"/>
        <v>0</v>
      </c>
      <c r="X39" s="85">
        <v>0</v>
      </c>
      <c r="Y39" s="85">
        <v>0</v>
      </c>
      <c r="Z39" s="85">
        <v>0</v>
      </c>
    </row>
    <row r="40" spans="1:26" s="3" customFormat="1" ht="48">
      <c r="A40" s="144"/>
      <c r="B40" s="114" t="s">
        <v>142</v>
      </c>
      <c r="C40" s="145" t="s">
        <v>52</v>
      </c>
      <c r="D40" s="84">
        <f>SUM(E40:H40)</f>
        <v>575.11</v>
      </c>
      <c r="E40" s="85">
        <f t="shared" si="22"/>
        <v>0</v>
      </c>
      <c r="F40" s="146">
        <f t="shared" si="23"/>
        <v>0</v>
      </c>
      <c r="G40" s="146">
        <f t="shared" si="24"/>
        <v>0</v>
      </c>
      <c r="H40" s="146">
        <f t="shared" si="17"/>
        <v>575.11</v>
      </c>
      <c r="I40" s="84">
        <f t="shared" si="18"/>
        <v>0</v>
      </c>
      <c r="J40" s="84">
        <f t="shared" si="25"/>
        <v>0</v>
      </c>
      <c r="K40" s="85">
        <v>0</v>
      </c>
      <c r="L40" s="85">
        <v>0</v>
      </c>
      <c r="M40" s="85">
        <v>0</v>
      </c>
      <c r="N40" s="81">
        <f t="shared" si="26"/>
        <v>575.11</v>
      </c>
      <c r="O40" s="84">
        <f t="shared" si="27"/>
        <v>575.11</v>
      </c>
      <c r="P40" s="85">
        <v>0</v>
      </c>
      <c r="Q40" s="85">
        <v>546.3545</v>
      </c>
      <c r="R40" s="136">
        <v>28.7555</v>
      </c>
      <c r="S40" s="84">
        <f t="shared" si="19"/>
        <v>0</v>
      </c>
      <c r="T40" s="85">
        <v>0</v>
      </c>
      <c r="U40" s="85">
        <v>0</v>
      </c>
      <c r="V40" s="85">
        <v>0</v>
      </c>
      <c r="W40" s="84">
        <f t="shared" si="20"/>
        <v>0</v>
      </c>
      <c r="X40" s="85">
        <v>0</v>
      </c>
      <c r="Y40" s="85">
        <v>0</v>
      </c>
      <c r="Z40" s="85">
        <v>0</v>
      </c>
    </row>
    <row r="41" spans="1:61" ht="24">
      <c r="A41" s="27" t="s">
        <v>10</v>
      </c>
      <c r="B41" s="115" t="s">
        <v>67</v>
      </c>
      <c r="C41" s="80" t="s">
        <v>52</v>
      </c>
      <c r="D41" s="81">
        <f t="shared" si="21"/>
        <v>1098.863</v>
      </c>
      <c r="E41" s="82">
        <f t="shared" si="22"/>
        <v>0</v>
      </c>
      <c r="F41" s="83">
        <f t="shared" si="23"/>
        <v>0</v>
      </c>
      <c r="G41" s="83">
        <f t="shared" si="24"/>
        <v>0</v>
      </c>
      <c r="H41" s="83">
        <f t="shared" si="17"/>
        <v>1098.863</v>
      </c>
      <c r="I41" s="84">
        <f t="shared" si="18"/>
        <v>1098.863</v>
      </c>
      <c r="J41" s="84">
        <f t="shared" si="25"/>
        <v>1098.863</v>
      </c>
      <c r="K41" s="85">
        <v>0</v>
      </c>
      <c r="L41" s="85">
        <v>0</v>
      </c>
      <c r="M41" s="85">
        <f>1100-1.137</f>
        <v>1098.863</v>
      </c>
      <c r="N41" s="81">
        <f t="shared" si="26"/>
        <v>0</v>
      </c>
      <c r="O41" s="81">
        <f t="shared" si="27"/>
        <v>0</v>
      </c>
      <c r="P41" s="82">
        <v>0</v>
      </c>
      <c r="Q41" s="82">
        <v>0</v>
      </c>
      <c r="R41" s="82">
        <v>0</v>
      </c>
      <c r="S41" s="81">
        <f t="shared" si="19"/>
        <v>0</v>
      </c>
      <c r="T41" s="82">
        <v>0</v>
      </c>
      <c r="U41" s="82">
        <v>0</v>
      </c>
      <c r="V41" s="82">
        <v>0</v>
      </c>
      <c r="W41" s="81">
        <f t="shared" si="20"/>
        <v>0</v>
      </c>
      <c r="X41" s="82">
        <v>0</v>
      </c>
      <c r="Y41" s="82">
        <v>0</v>
      </c>
      <c r="Z41" s="82">
        <v>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24">
      <c r="A42" s="27" t="s">
        <v>11</v>
      </c>
      <c r="B42" s="115" t="s">
        <v>74</v>
      </c>
      <c r="C42" s="80" t="s">
        <v>52</v>
      </c>
      <c r="D42" s="81">
        <f t="shared" si="21"/>
        <v>120</v>
      </c>
      <c r="E42" s="82">
        <f t="shared" si="22"/>
        <v>0</v>
      </c>
      <c r="F42" s="83">
        <f t="shared" si="23"/>
        <v>0</v>
      </c>
      <c r="G42" s="83">
        <f t="shared" si="24"/>
        <v>0</v>
      </c>
      <c r="H42" s="83">
        <f t="shared" si="17"/>
        <v>120</v>
      </c>
      <c r="I42" s="84">
        <f t="shared" si="18"/>
        <v>120</v>
      </c>
      <c r="J42" s="84">
        <f t="shared" si="25"/>
        <v>120</v>
      </c>
      <c r="K42" s="85">
        <v>0</v>
      </c>
      <c r="L42" s="85">
        <v>0</v>
      </c>
      <c r="M42" s="85">
        <v>120</v>
      </c>
      <c r="N42" s="81">
        <f t="shared" si="26"/>
        <v>0</v>
      </c>
      <c r="O42" s="81">
        <f t="shared" si="27"/>
        <v>0</v>
      </c>
      <c r="P42" s="82">
        <v>0</v>
      </c>
      <c r="Q42" s="82">
        <v>0</v>
      </c>
      <c r="R42" s="82">
        <v>0</v>
      </c>
      <c r="S42" s="81">
        <f t="shared" si="19"/>
        <v>0</v>
      </c>
      <c r="T42" s="82">
        <v>0</v>
      </c>
      <c r="U42" s="82">
        <v>0</v>
      </c>
      <c r="V42" s="82">
        <v>0</v>
      </c>
      <c r="W42" s="81">
        <f t="shared" si="20"/>
        <v>0</v>
      </c>
      <c r="X42" s="82">
        <v>0</v>
      </c>
      <c r="Y42" s="82">
        <v>0</v>
      </c>
      <c r="Z42" s="82"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24">
      <c r="A43" s="27" t="s">
        <v>69</v>
      </c>
      <c r="B43" s="115" t="s">
        <v>78</v>
      </c>
      <c r="C43" s="80" t="s">
        <v>52</v>
      </c>
      <c r="D43" s="81">
        <f t="shared" si="21"/>
        <v>55.655</v>
      </c>
      <c r="E43" s="82">
        <f t="shared" si="22"/>
        <v>0</v>
      </c>
      <c r="F43" s="83">
        <f t="shared" si="23"/>
        <v>0</v>
      </c>
      <c r="G43" s="83">
        <f t="shared" si="24"/>
        <v>0</v>
      </c>
      <c r="H43" s="83">
        <f t="shared" si="17"/>
        <v>55.655</v>
      </c>
      <c r="I43" s="84">
        <f>J43</f>
        <v>55.655</v>
      </c>
      <c r="J43" s="84">
        <f t="shared" si="25"/>
        <v>55.655</v>
      </c>
      <c r="K43" s="85">
        <v>0</v>
      </c>
      <c r="L43" s="85">
        <v>0</v>
      </c>
      <c r="M43" s="85">
        <v>55.655</v>
      </c>
      <c r="N43" s="81">
        <f t="shared" si="26"/>
        <v>0</v>
      </c>
      <c r="O43" s="81">
        <f t="shared" si="27"/>
        <v>0</v>
      </c>
      <c r="P43" s="82">
        <v>0</v>
      </c>
      <c r="Q43" s="82">
        <v>0</v>
      </c>
      <c r="R43" s="82">
        <v>0</v>
      </c>
      <c r="S43" s="81">
        <f t="shared" si="19"/>
        <v>0</v>
      </c>
      <c r="T43" s="82">
        <v>0</v>
      </c>
      <c r="U43" s="82">
        <v>0</v>
      </c>
      <c r="V43" s="82">
        <v>0</v>
      </c>
      <c r="W43" s="81">
        <f t="shared" si="20"/>
        <v>0</v>
      </c>
      <c r="X43" s="82">
        <v>0</v>
      </c>
      <c r="Y43" s="82">
        <v>0</v>
      </c>
      <c r="Z43" s="82"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36">
      <c r="A44" s="27" t="s">
        <v>138</v>
      </c>
      <c r="B44" s="138" t="s">
        <v>140</v>
      </c>
      <c r="C44" s="80" t="s">
        <v>52</v>
      </c>
      <c r="D44" s="81">
        <f t="shared" si="21"/>
        <v>100</v>
      </c>
      <c r="E44" s="82">
        <f t="shared" si="22"/>
        <v>0</v>
      </c>
      <c r="F44" s="83">
        <f t="shared" si="23"/>
        <v>0</v>
      </c>
      <c r="G44" s="83">
        <f t="shared" si="24"/>
        <v>0</v>
      </c>
      <c r="H44" s="83">
        <f t="shared" si="17"/>
        <v>100</v>
      </c>
      <c r="I44" s="84">
        <f>J44</f>
        <v>0</v>
      </c>
      <c r="J44" s="84">
        <f t="shared" si="25"/>
        <v>0</v>
      </c>
      <c r="K44" s="85">
        <v>0</v>
      </c>
      <c r="L44" s="85">
        <v>0</v>
      </c>
      <c r="M44" s="85">
        <v>0</v>
      </c>
      <c r="N44" s="81">
        <f t="shared" si="26"/>
        <v>100</v>
      </c>
      <c r="O44" s="81">
        <f t="shared" si="27"/>
        <v>100</v>
      </c>
      <c r="P44" s="82">
        <v>0</v>
      </c>
      <c r="Q44" s="82">
        <v>0</v>
      </c>
      <c r="R44" s="82">
        <v>100</v>
      </c>
      <c r="S44" s="81"/>
      <c r="T44" s="82"/>
      <c r="U44" s="82"/>
      <c r="V44" s="82"/>
      <c r="W44" s="81"/>
      <c r="X44" s="82"/>
      <c r="Y44" s="82"/>
      <c r="Z44" s="8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24">
      <c r="A45" s="23">
        <v>3</v>
      </c>
      <c r="B45" s="99" t="s">
        <v>60</v>
      </c>
      <c r="C45" s="96"/>
      <c r="D45" s="79">
        <f>SUM(D46)</f>
        <v>4473.2925000000005</v>
      </c>
      <c r="E45" s="79">
        <f aca="true" t="shared" si="28" ref="E45:Z45">SUM(E46)</f>
        <v>0</v>
      </c>
      <c r="F45" s="79">
        <f t="shared" si="28"/>
        <v>0</v>
      </c>
      <c r="G45" s="79">
        <f t="shared" si="28"/>
        <v>0</v>
      </c>
      <c r="H45" s="79">
        <f>SUM(H46)</f>
        <v>4473.2925000000005</v>
      </c>
      <c r="I45" s="79">
        <f>SUM(I46)</f>
        <v>4473.2925000000005</v>
      </c>
      <c r="J45" s="79">
        <f>SUM(J46)</f>
        <v>4473.2925000000005</v>
      </c>
      <c r="K45" s="79">
        <f t="shared" si="28"/>
        <v>4260.27857</v>
      </c>
      <c r="L45" s="79">
        <f t="shared" si="28"/>
        <v>0</v>
      </c>
      <c r="M45" s="79">
        <f t="shared" si="28"/>
        <v>213.01393</v>
      </c>
      <c r="N45" s="79">
        <f t="shared" si="28"/>
        <v>0</v>
      </c>
      <c r="O45" s="79">
        <f t="shared" si="28"/>
        <v>0</v>
      </c>
      <c r="P45" s="79">
        <f t="shared" si="28"/>
        <v>0</v>
      </c>
      <c r="Q45" s="79">
        <f t="shared" si="28"/>
        <v>0</v>
      </c>
      <c r="R45" s="79">
        <f t="shared" si="28"/>
        <v>0</v>
      </c>
      <c r="S45" s="79">
        <f t="shared" si="28"/>
        <v>0</v>
      </c>
      <c r="T45" s="79">
        <f t="shared" si="28"/>
        <v>0</v>
      </c>
      <c r="U45" s="79">
        <f t="shared" si="28"/>
        <v>0</v>
      </c>
      <c r="V45" s="79">
        <f t="shared" si="28"/>
        <v>0</v>
      </c>
      <c r="W45" s="79">
        <f t="shared" si="28"/>
        <v>0</v>
      </c>
      <c r="X45" s="79">
        <f t="shared" si="28"/>
        <v>0</v>
      </c>
      <c r="Y45" s="79">
        <f t="shared" si="28"/>
        <v>0</v>
      </c>
      <c r="Z45" s="79">
        <f t="shared" si="28"/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26" s="12" customFormat="1" ht="24.75" customHeight="1">
      <c r="A46" s="32" t="s">
        <v>24</v>
      </c>
      <c r="B46" s="116" t="s">
        <v>59</v>
      </c>
      <c r="C46" s="80" t="s">
        <v>52</v>
      </c>
      <c r="D46" s="81">
        <f>SUM(E46:H46)</f>
        <v>4473.2925000000005</v>
      </c>
      <c r="E46" s="82">
        <f>T46</f>
        <v>0</v>
      </c>
      <c r="F46" s="83">
        <f>U46</f>
        <v>0</v>
      </c>
      <c r="G46" s="83">
        <f>V46</f>
        <v>0</v>
      </c>
      <c r="H46" s="83">
        <f>J46+O46</f>
        <v>4473.2925000000005</v>
      </c>
      <c r="I46" s="84">
        <f>J46</f>
        <v>4473.2925000000005</v>
      </c>
      <c r="J46" s="84">
        <f>SUM(K46:M46)</f>
        <v>4473.2925000000005</v>
      </c>
      <c r="K46" s="85">
        <v>4260.27857</v>
      </c>
      <c r="L46" s="85">
        <v>0</v>
      </c>
      <c r="M46" s="85">
        <v>213.01393</v>
      </c>
      <c r="N46" s="81">
        <f>O46</f>
        <v>0</v>
      </c>
      <c r="O46" s="81">
        <f>SUM(P46:R46)</f>
        <v>0</v>
      </c>
      <c r="P46" s="82">
        <v>0</v>
      </c>
      <c r="Q46" s="82">
        <v>0</v>
      </c>
      <c r="R46" s="82">
        <v>0</v>
      </c>
      <c r="S46" s="81">
        <f>T46+U46+V46</f>
        <v>0</v>
      </c>
      <c r="T46" s="82">
        <v>0</v>
      </c>
      <c r="U46" s="82">
        <v>0</v>
      </c>
      <c r="V46" s="82">
        <v>0</v>
      </c>
      <c r="W46" s="81">
        <f>X46+Y46+Z46</f>
        <v>0</v>
      </c>
      <c r="X46" s="82">
        <v>0</v>
      </c>
      <c r="Y46" s="82">
        <v>0</v>
      </c>
      <c r="Z46" s="82">
        <v>0</v>
      </c>
    </row>
    <row r="47" spans="1:61" ht="50.25" customHeight="1">
      <c r="A47" s="22"/>
      <c r="B47" s="98" t="s">
        <v>118</v>
      </c>
      <c r="C47" s="77"/>
      <c r="D47" s="76">
        <f>D48</f>
        <v>7246</v>
      </c>
      <c r="E47" s="76">
        <f aca="true" t="shared" si="29" ref="E47:Z47">E48</f>
        <v>0</v>
      </c>
      <c r="F47" s="76">
        <f t="shared" si="29"/>
        <v>0</v>
      </c>
      <c r="G47" s="76">
        <f t="shared" si="29"/>
        <v>0</v>
      </c>
      <c r="H47" s="76">
        <f t="shared" si="29"/>
        <v>7246</v>
      </c>
      <c r="I47" s="76">
        <f t="shared" si="29"/>
        <v>0</v>
      </c>
      <c r="J47" s="76">
        <f t="shared" si="29"/>
        <v>0</v>
      </c>
      <c r="K47" s="76">
        <f t="shared" si="29"/>
        <v>0</v>
      </c>
      <c r="L47" s="76">
        <f t="shared" si="29"/>
        <v>0</v>
      </c>
      <c r="M47" s="76">
        <f t="shared" si="29"/>
        <v>0</v>
      </c>
      <c r="N47" s="76">
        <f t="shared" si="29"/>
        <v>7246</v>
      </c>
      <c r="O47" s="76">
        <f t="shared" si="29"/>
        <v>7246</v>
      </c>
      <c r="P47" s="76">
        <f t="shared" si="29"/>
        <v>0</v>
      </c>
      <c r="Q47" s="76">
        <f t="shared" si="29"/>
        <v>3873.5</v>
      </c>
      <c r="R47" s="76">
        <f t="shared" si="29"/>
        <v>3372.5</v>
      </c>
      <c r="S47" s="76">
        <f t="shared" si="29"/>
        <v>0</v>
      </c>
      <c r="T47" s="76">
        <f t="shared" si="29"/>
        <v>0</v>
      </c>
      <c r="U47" s="76">
        <f t="shared" si="29"/>
        <v>0</v>
      </c>
      <c r="V47" s="76">
        <f t="shared" si="29"/>
        <v>0</v>
      </c>
      <c r="W47" s="76">
        <f t="shared" si="29"/>
        <v>0</v>
      </c>
      <c r="X47" s="76">
        <f t="shared" si="29"/>
        <v>0</v>
      </c>
      <c r="Y47" s="76">
        <f t="shared" si="29"/>
        <v>0</v>
      </c>
      <c r="Z47" s="76">
        <f t="shared" si="29"/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26" s="74" customFormat="1" ht="61.5" customHeight="1">
      <c r="A48" s="23" t="s">
        <v>94</v>
      </c>
      <c r="B48" s="99" t="s">
        <v>99</v>
      </c>
      <c r="C48" s="78"/>
      <c r="D48" s="79">
        <f>D49+D53+D54+D55</f>
        <v>7246</v>
      </c>
      <c r="E48" s="79">
        <f>E49+E53+E54+E55</f>
        <v>0</v>
      </c>
      <c r="F48" s="79">
        <f aca="true" t="shared" si="30" ref="F48:M48">F49+F53+F54</f>
        <v>0</v>
      </c>
      <c r="G48" s="79">
        <f t="shared" si="30"/>
        <v>0</v>
      </c>
      <c r="H48" s="79">
        <f>H49+H53+H54+H55</f>
        <v>7246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>L49+L53+L54</f>
        <v>0</v>
      </c>
      <c r="M48" s="79">
        <f t="shared" si="30"/>
        <v>0</v>
      </c>
      <c r="N48" s="79">
        <f>N49+N53+N54+N55</f>
        <v>7246</v>
      </c>
      <c r="O48" s="79">
        <f>O49+O53+O54+O55</f>
        <v>7246</v>
      </c>
      <c r="P48" s="79">
        <f>P49+P53+P54+P55</f>
        <v>0</v>
      </c>
      <c r="Q48" s="79">
        <f>Q49+Q53+Q54+Q55</f>
        <v>3873.5</v>
      </c>
      <c r="R48" s="79">
        <f>R49+R53+R54+R55</f>
        <v>3372.5</v>
      </c>
      <c r="S48" s="79">
        <f aca="true" t="shared" si="31" ref="S48:Z48">S49+S53+S54</f>
        <v>0</v>
      </c>
      <c r="T48" s="79">
        <f t="shared" si="31"/>
        <v>0</v>
      </c>
      <c r="U48" s="79">
        <f t="shared" si="31"/>
        <v>0</v>
      </c>
      <c r="V48" s="79">
        <f>V49+V53+V54</f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79">
        <f t="shared" si="31"/>
        <v>0</v>
      </c>
    </row>
    <row r="49" spans="1:61" ht="60">
      <c r="A49" s="19" t="s">
        <v>70</v>
      </c>
      <c r="B49" s="114" t="s">
        <v>95</v>
      </c>
      <c r="C49" s="80" t="s">
        <v>52</v>
      </c>
      <c r="D49" s="81">
        <f aca="true" t="shared" si="32" ref="D49:D55">SUM(E49:H49)</f>
        <v>6789.3369999999995</v>
      </c>
      <c r="E49" s="82">
        <f aca="true" t="shared" si="33" ref="E49:G55">T49</f>
        <v>0</v>
      </c>
      <c r="F49" s="83">
        <f>U49</f>
        <v>0</v>
      </c>
      <c r="G49" s="83">
        <f>V49</f>
        <v>0</v>
      </c>
      <c r="H49" s="83">
        <f aca="true" t="shared" si="34" ref="H49:H55">J49+O49</f>
        <v>6789.3369999999995</v>
      </c>
      <c r="I49" s="84">
        <f aca="true" t="shared" si="35" ref="I49:I55">K49+L49+M49</f>
        <v>0</v>
      </c>
      <c r="J49" s="84">
        <f aca="true" t="shared" si="36" ref="J49:J55">SUM(K49:M49)</f>
        <v>0</v>
      </c>
      <c r="K49" s="85">
        <v>0</v>
      </c>
      <c r="L49" s="85">
        <v>0</v>
      </c>
      <c r="M49" s="89">
        <v>0</v>
      </c>
      <c r="N49" s="81">
        <f aca="true" t="shared" si="37" ref="N49:N55">O49</f>
        <v>6789.3369999999995</v>
      </c>
      <c r="O49" s="81">
        <f>SUM(P49:R49)</f>
        <v>6789.3369999999995</v>
      </c>
      <c r="P49" s="82">
        <v>0</v>
      </c>
      <c r="Q49" s="82">
        <v>3873.5</v>
      </c>
      <c r="R49" s="82">
        <f>1883.837+204+1143-35-280</f>
        <v>2915.837</v>
      </c>
      <c r="S49" s="81">
        <f aca="true" t="shared" si="38" ref="S49:S55">T49+U49+V49</f>
        <v>0</v>
      </c>
      <c r="T49" s="82">
        <v>0</v>
      </c>
      <c r="U49" s="82">
        <v>0</v>
      </c>
      <c r="V49" s="82">
        <v>0</v>
      </c>
      <c r="W49" s="81">
        <f aca="true" t="shared" si="39" ref="W49:W55">X49+Y49+Z49</f>
        <v>0</v>
      </c>
      <c r="X49" s="82">
        <v>0</v>
      </c>
      <c r="Y49" s="82">
        <v>0</v>
      </c>
      <c r="Z49" s="82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4" customHeight="1">
      <c r="A50" s="19"/>
      <c r="B50" s="106" t="s">
        <v>61</v>
      </c>
      <c r="C50" s="80" t="s">
        <v>52</v>
      </c>
      <c r="D50" s="81">
        <f t="shared" si="32"/>
        <v>3823.7000000000003</v>
      </c>
      <c r="E50" s="82">
        <f t="shared" si="33"/>
        <v>0</v>
      </c>
      <c r="F50" s="83">
        <f t="shared" si="33"/>
        <v>0</v>
      </c>
      <c r="G50" s="83">
        <f t="shared" si="33"/>
        <v>0</v>
      </c>
      <c r="H50" s="83">
        <f t="shared" si="34"/>
        <v>3823.7000000000003</v>
      </c>
      <c r="I50" s="84">
        <f t="shared" si="35"/>
        <v>0</v>
      </c>
      <c r="J50" s="84">
        <f t="shared" si="36"/>
        <v>0</v>
      </c>
      <c r="K50" s="85">
        <v>0</v>
      </c>
      <c r="L50" s="85">
        <v>0</v>
      </c>
      <c r="M50" s="85">
        <v>0</v>
      </c>
      <c r="N50" s="81">
        <f t="shared" si="37"/>
        <v>3823.7000000000003</v>
      </c>
      <c r="O50" s="81">
        <f aca="true" t="shared" si="40" ref="O50:O55">SUM(P50:R50)</f>
        <v>3823.7000000000003</v>
      </c>
      <c r="P50" s="82">
        <v>0</v>
      </c>
      <c r="Q50" s="82">
        <v>3632.4</v>
      </c>
      <c r="R50" s="82">
        <v>191.3</v>
      </c>
      <c r="S50" s="81">
        <f t="shared" si="38"/>
        <v>0</v>
      </c>
      <c r="T50" s="82">
        <v>0</v>
      </c>
      <c r="U50" s="82">
        <v>0</v>
      </c>
      <c r="V50" s="82">
        <v>0</v>
      </c>
      <c r="W50" s="81">
        <f t="shared" si="39"/>
        <v>0</v>
      </c>
      <c r="X50" s="82">
        <v>0</v>
      </c>
      <c r="Y50" s="82">
        <v>0</v>
      </c>
      <c r="Z50" s="82"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4" customHeight="1">
      <c r="A51" s="19"/>
      <c r="B51" s="106" t="s">
        <v>62</v>
      </c>
      <c r="C51" s="80" t="s">
        <v>52</v>
      </c>
      <c r="D51" s="81">
        <f t="shared" si="32"/>
        <v>253.79999999999998</v>
      </c>
      <c r="E51" s="82">
        <f t="shared" si="33"/>
        <v>0</v>
      </c>
      <c r="F51" s="83">
        <f t="shared" si="33"/>
        <v>0</v>
      </c>
      <c r="G51" s="83">
        <f t="shared" si="33"/>
        <v>0</v>
      </c>
      <c r="H51" s="83">
        <f t="shared" si="34"/>
        <v>253.79999999999998</v>
      </c>
      <c r="I51" s="84">
        <f t="shared" si="35"/>
        <v>0</v>
      </c>
      <c r="J51" s="84">
        <f t="shared" si="36"/>
        <v>0</v>
      </c>
      <c r="K51" s="85">
        <v>0</v>
      </c>
      <c r="L51" s="85">
        <v>0</v>
      </c>
      <c r="M51" s="85">
        <v>0</v>
      </c>
      <c r="N51" s="81">
        <f t="shared" si="37"/>
        <v>253.79999999999998</v>
      </c>
      <c r="O51" s="81">
        <f t="shared" si="40"/>
        <v>253.79999999999998</v>
      </c>
      <c r="P51" s="82">
        <v>0</v>
      </c>
      <c r="Q51" s="82">
        <v>241.1</v>
      </c>
      <c r="R51" s="82">
        <v>12.7</v>
      </c>
      <c r="S51" s="81">
        <f t="shared" si="38"/>
        <v>0</v>
      </c>
      <c r="T51" s="82">
        <v>0</v>
      </c>
      <c r="U51" s="82">
        <v>0</v>
      </c>
      <c r="V51" s="82">
        <v>0</v>
      </c>
      <c r="W51" s="81">
        <f t="shared" si="39"/>
        <v>0</v>
      </c>
      <c r="X51" s="82">
        <v>0</v>
      </c>
      <c r="Y51" s="82">
        <v>0</v>
      </c>
      <c r="Z51" s="82"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4.75" customHeight="1">
      <c r="A52" s="19"/>
      <c r="B52" s="106" t="s">
        <v>63</v>
      </c>
      <c r="C52" s="80" t="s">
        <v>52</v>
      </c>
      <c r="D52" s="81">
        <f t="shared" si="32"/>
        <v>0</v>
      </c>
      <c r="E52" s="82">
        <f>T52</f>
        <v>0</v>
      </c>
      <c r="F52" s="83">
        <f t="shared" si="33"/>
        <v>0</v>
      </c>
      <c r="G52" s="83">
        <f t="shared" si="33"/>
        <v>0</v>
      </c>
      <c r="H52" s="83">
        <f t="shared" si="34"/>
        <v>0</v>
      </c>
      <c r="I52" s="84">
        <f t="shared" si="35"/>
        <v>0</v>
      </c>
      <c r="J52" s="84">
        <f t="shared" si="36"/>
        <v>0</v>
      </c>
      <c r="K52" s="85">
        <v>0</v>
      </c>
      <c r="L52" s="85">
        <v>0</v>
      </c>
      <c r="M52" s="85"/>
      <c r="N52" s="81">
        <f t="shared" si="37"/>
        <v>0</v>
      </c>
      <c r="O52" s="81">
        <f t="shared" si="40"/>
        <v>0</v>
      </c>
      <c r="P52" s="82">
        <v>0</v>
      </c>
      <c r="Q52" s="82">
        <v>0</v>
      </c>
      <c r="R52" s="82">
        <v>0</v>
      </c>
      <c r="S52" s="81">
        <f t="shared" si="38"/>
        <v>0</v>
      </c>
      <c r="T52" s="82">
        <v>0</v>
      </c>
      <c r="U52" s="82">
        <v>0</v>
      </c>
      <c r="V52" s="82">
        <v>0</v>
      </c>
      <c r="W52" s="81">
        <f t="shared" si="39"/>
        <v>0</v>
      </c>
      <c r="X52" s="82">
        <v>0</v>
      </c>
      <c r="Y52" s="82">
        <v>0</v>
      </c>
      <c r="Z52" s="82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48" customHeight="1">
      <c r="A53" s="18" t="s">
        <v>72</v>
      </c>
      <c r="B53" s="107" t="s">
        <v>48</v>
      </c>
      <c r="C53" s="80" t="s">
        <v>52</v>
      </c>
      <c r="D53" s="81">
        <f t="shared" si="32"/>
        <v>176.663</v>
      </c>
      <c r="E53" s="82">
        <f>T53</f>
        <v>0</v>
      </c>
      <c r="F53" s="83">
        <f t="shared" si="33"/>
        <v>0</v>
      </c>
      <c r="G53" s="83">
        <f t="shared" si="33"/>
        <v>0</v>
      </c>
      <c r="H53" s="83">
        <f t="shared" si="34"/>
        <v>176.663</v>
      </c>
      <c r="I53" s="84">
        <f t="shared" si="35"/>
        <v>0</v>
      </c>
      <c r="J53" s="84">
        <f t="shared" si="36"/>
        <v>0</v>
      </c>
      <c r="K53" s="85">
        <v>0</v>
      </c>
      <c r="L53" s="85">
        <v>0</v>
      </c>
      <c r="M53" s="89">
        <v>0</v>
      </c>
      <c r="N53" s="81">
        <f t="shared" si="37"/>
        <v>176.663</v>
      </c>
      <c r="O53" s="81">
        <f t="shared" si="40"/>
        <v>176.663</v>
      </c>
      <c r="P53" s="82">
        <v>0</v>
      </c>
      <c r="Q53" s="82">
        <v>0</v>
      </c>
      <c r="R53" s="82">
        <v>176.663</v>
      </c>
      <c r="S53" s="81">
        <f t="shared" si="38"/>
        <v>0</v>
      </c>
      <c r="T53" s="82">
        <v>0</v>
      </c>
      <c r="U53" s="82">
        <v>0</v>
      </c>
      <c r="V53" s="82">
        <v>0</v>
      </c>
      <c r="W53" s="81">
        <f t="shared" si="39"/>
        <v>0</v>
      </c>
      <c r="X53" s="82">
        <v>0</v>
      </c>
      <c r="Y53" s="82">
        <v>0</v>
      </c>
      <c r="Z53" s="82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36.75" customHeight="1">
      <c r="A54" s="18" t="s">
        <v>101</v>
      </c>
      <c r="B54" s="116" t="s">
        <v>107</v>
      </c>
      <c r="C54" s="80" t="s">
        <v>109</v>
      </c>
      <c r="D54" s="81">
        <f t="shared" si="32"/>
        <v>0</v>
      </c>
      <c r="E54" s="82">
        <f>T54</f>
        <v>0</v>
      </c>
      <c r="F54" s="83">
        <f t="shared" si="33"/>
        <v>0</v>
      </c>
      <c r="G54" s="83">
        <f t="shared" si="33"/>
        <v>0</v>
      </c>
      <c r="H54" s="83">
        <f t="shared" si="34"/>
        <v>0</v>
      </c>
      <c r="I54" s="84">
        <f t="shared" si="35"/>
        <v>0</v>
      </c>
      <c r="J54" s="84">
        <f t="shared" si="36"/>
        <v>0</v>
      </c>
      <c r="K54" s="85">
        <v>0</v>
      </c>
      <c r="L54" s="85">
        <v>0</v>
      </c>
      <c r="M54" s="85">
        <v>0</v>
      </c>
      <c r="N54" s="81">
        <f t="shared" si="37"/>
        <v>0</v>
      </c>
      <c r="O54" s="81">
        <f t="shared" si="40"/>
        <v>0</v>
      </c>
      <c r="P54" s="82">
        <v>0</v>
      </c>
      <c r="Q54" s="82">
        <v>0</v>
      </c>
      <c r="R54" s="82">
        <f>3320-3320</f>
        <v>0</v>
      </c>
      <c r="S54" s="81">
        <f t="shared" si="38"/>
        <v>0</v>
      </c>
      <c r="T54" s="82">
        <v>0</v>
      </c>
      <c r="U54" s="82">
        <v>0</v>
      </c>
      <c r="V54" s="82">
        <v>0</v>
      </c>
      <c r="W54" s="81">
        <f t="shared" si="39"/>
        <v>0</v>
      </c>
      <c r="X54" s="82">
        <v>0</v>
      </c>
      <c r="Y54" s="82">
        <v>0</v>
      </c>
      <c r="Z54" s="82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36.75" customHeight="1">
      <c r="A55" s="18" t="s">
        <v>108</v>
      </c>
      <c r="B55" s="116" t="s">
        <v>137</v>
      </c>
      <c r="C55" s="80" t="s">
        <v>52</v>
      </c>
      <c r="D55" s="81">
        <f t="shared" si="32"/>
        <v>280</v>
      </c>
      <c r="E55" s="82">
        <f>T55</f>
        <v>0</v>
      </c>
      <c r="F55" s="83">
        <f t="shared" si="33"/>
        <v>0</v>
      </c>
      <c r="G55" s="83">
        <f t="shared" si="33"/>
        <v>0</v>
      </c>
      <c r="H55" s="83">
        <f t="shared" si="34"/>
        <v>280</v>
      </c>
      <c r="I55" s="84">
        <f t="shared" si="35"/>
        <v>0</v>
      </c>
      <c r="J55" s="84">
        <f t="shared" si="36"/>
        <v>0</v>
      </c>
      <c r="K55" s="85">
        <v>0</v>
      </c>
      <c r="L55" s="85">
        <v>0</v>
      </c>
      <c r="M55" s="85">
        <v>0</v>
      </c>
      <c r="N55" s="81">
        <f t="shared" si="37"/>
        <v>280</v>
      </c>
      <c r="O55" s="81">
        <f t="shared" si="40"/>
        <v>280</v>
      </c>
      <c r="P55" s="82">
        <v>0</v>
      </c>
      <c r="Q55" s="82">
        <v>0</v>
      </c>
      <c r="R55" s="82">
        <v>280</v>
      </c>
      <c r="S55" s="81">
        <f t="shared" si="38"/>
        <v>0</v>
      </c>
      <c r="T55" s="82">
        <v>0</v>
      </c>
      <c r="U55" s="82">
        <v>0</v>
      </c>
      <c r="V55" s="82">
        <v>0</v>
      </c>
      <c r="W55" s="81">
        <f t="shared" si="39"/>
        <v>0</v>
      </c>
      <c r="X55" s="82">
        <v>0</v>
      </c>
      <c r="Y55" s="82">
        <v>0</v>
      </c>
      <c r="Z55" s="82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49.5" customHeight="1">
      <c r="A56" s="22"/>
      <c r="B56" s="98" t="s">
        <v>119</v>
      </c>
      <c r="C56" s="77"/>
      <c r="D56" s="76">
        <f>D57</f>
        <v>1636.41033</v>
      </c>
      <c r="E56" s="76">
        <f aca="true" t="shared" si="41" ref="E56:Z56">E57</f>
        <v>0</v>
      </c>
      <c r="F56" s="76">
        <f t="shared" si="41"/>
        <v>0</v>
      </c>
      <c r="G56" s="76">
        <f t="shared" si="41"/>
        <v>0</v>
      </c>
      <c r="H56" s="76">
        <f>H57</f>
        <v>1636.41033</v>
      </c>
      <c r="I56" s="76">
        <f t="shared" si="41"/>
        <v>0</v>
      </c>
      <c r="J56" s="76">
        <f t="shared" si="41"/>
        <v>0</v>
      </c>
      <c r="K56" s="76">
        <f t="shared" si="41"/>
        <v>0</v>
      </c>
      <c r="L56" s="76">
        <f t="shared" si="41"/>
        <v>0</v>
      </c>
      <c r="M56" s="76">
        <f t="shared" si="41"/>
        <v>0</v>
      </c>
      <c r="N56" s="76">
        <f>N57</f>
        <v>1636.41033</v>
      </c>
      <c r="O56" s="76">
        <f t="shared" si="41"/>
        <v>1636.41033</v>
      </c>
      <c r="P56" s="76">
        <f t="shared" si="41"/>
        <v>0</v>
      </c>
      <c r="Q56" s="76">
        <f t="shared" si="41"/>
        <v>460.57500000000005</v>
      </c>
      <c r="R56" s="76">
        <f>R57</f>
        <v>1175.8353299999999</v>
      </c>
      <c r="S56" s="76">
        <f t="shared" si="41"/>
        <v>0</v>
      </c>
      <c r="T56" s="76">
        <f t="shared" si="41"/>
        <v>0</v>
      </c>
      <c r="U56" s="76">
        <f t="shared" si="41"/>
        <v>0</v>
      </c>
      <c r="V56" s="76">
        <f t="shared" si="41"/>
        <v>0</v>
      </c>
      <c r="W56" s="76">
        <f t="shared" si="41"/>
        <v>0</v>
      </c>
      <c r="X56" s="76">
        <f t="shared" si="41"/>
        <v>0</v>
      </c>
      <c r="Y56" s="76">
        <f t="shared" si="41"/>
        <v>0</v>
      </c>
      <c r="Z56" s="76">
        <f t="shared" si="41"/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26" s="74" customFormat="1" ht="61.5" customHeight="1">
      <c r="A57" s="23" t="s">
        <v>81</v>
      </c>
      <c r="B57" s="99" t="s">
        <v>100</v>
      </c>
      <c r="C57" s="78"/>
      <c r="D57" s="79">
        <f>D58+D62+D64+D65</f>
        <v>1636.41033</v>
      </c>
      <c r="E57" s="79">
        <f aca="true" t="shared" si="42" ref="E57:V57">E58+E62+E64</f>
        <v>0</v>
      </c>
      <c r="F57" s="79">
        <f t="shared" si="42"/>
        <v>0</v>
      </c>
      <c r="G57" s="79">
        <f t="shared" si="42"/>
        <v>0</v>
      </c>
      <c r="H57" s="79">
        <f>H58+H62+H64+H65</f>
        <v>1636.41033</v>
      </c>
      <c r="I57" s="79">
        <f t="shared" si="42"/>
        <v>0</v>
      </c>
      <c r="J57" s="79">
        <f t="shared" si="42"/>
        <v>0</v>
      </c>
      <c r="K57" s="79">
        <f t="shared" si="42"/>
        <v>0</v>
      </c>
      <c r="L57" s="79">
        <f t="shared" si="42"/>
        <v>0</v>
      </c>
      <c r="M57" s="79">
        <f t="shared" si="42"/>
        <v>0</v>
      </c>
      <c r="N57" s="79">
        <f>N58+N62+N64+N65</f>
        <v>1636.41033</v>
      </c>
      <c r="O57" s="79">
        <f>O58+O62+O64+O65</f>
        <v>1636.41033</v>
      </c>
      <c r="P57" s="79">
        <f t="shared" si="42"/>
        <v>0</v>
      </c>
      <c r="Q57" s="79">
        <f>Q58+Q62+Q64</f>
        <v>460.57500000000005</v>
      </c>
      <c r="R57" s="79">
        <f>R58+R62+R64+R65</f>
        <v>1175.8353299999999</v>
      </c>
      <c r="S57" s="79">
        <f t="shared" si="42"/>
        <v>0</v>
      </c>
      <c r="T57" s="79">
        <f t="shared" si="42"/>
        <v>0</v>
      </c>
      <c r="U57" s="79">
        <f t="shared" si="42"/>
        <v>0</v>
      </c>
      <c r="V57" s="79">
        <f t="shared" si="42"/>
        <v>0</v>
      </c>
      <c r="W57" s="79">
        <f>W58+W62+W64</f>
        <v>0</v>
      </c>
      <c r="X57" s="79">
        <f>X58+X62+X64</f>
        <v>0</v>
      </c>
      <c r="Y57" s="79">
        <f>Y58+Y62+Y64</f>
        <v>0</v>
      </c>
      <c r="Z57" s="79">
        <f>Z58+Z62+Z64</f>
        <v>0</v>
      </c>
    </row>
    <row r="58" spans="1:61" ht="60">
      <c r="A58" s="19" t="s">
        <v>82</v>
      </c>
      <c r="B58" s="114" t="s">
        <v>93</v>
      </c>
      <c r="C58" s="80" t="s">
        <v>92</v>
      </c>
      <c r="D58" s="81">
        <f aca="true" t="shared" si="43" ref="D58:D65">SUM(E58:H58)</f>
        <v>1636.41033</v>
      </c>
      <c r="E58" s="82">
        <f aca="true" t="shared" si="44" ref="E58:G62">T58</f>
        <v>0</v>
      </c>
      <c r="F58" s="83">
        <f t="shared" si="44"/>
        <v>0</v>
      </c>
      <c r="G58" s="83">
        <f t="shared" si="44"/>
        <v>0</v>
      </c>
      <c r="H58" s="83">
        <f>J58+O58</f>
        <v>1636.41033</v>
      </c>
      <c r="I58" s="84">
        <f>K58+L58+M58</f>
        <v>0</v>
      </c>
      <c r="J58" s="84">
        <f>SUM(K58:M58)</f>
        <v>0</v>
      </c>
      <c r="K58" s="85">
        <v>0</v>
      </c>
      <c r="L58" s="85">
        <v>0</v>
      </c>
      <c r="M58" s="89">
        <v>0</v>
      </c>
      <c r="N58" s="81">
        <f>P58+Q58+R58</f>
        <v>1636.41033</v>
      </c>
      <c r="O58" s="81">
        <f aca="true" t="shared" si="45" ref="O58:O65">SUM(P58:R58)</f>
        <v>1636.41033</v>
      </c>
      <c r="P58" s="82">
        <v>0</v>
      </c>
      <c r="Q58" s="82">
        <f>1842.3-1381.725</f>
        <v>460.57500000000005</v>
      </c>
      <c r="R58" s="82">
        <f>5946.7-4770.86467</f>
        <v>1175.8353299999999</v>
      </c>
      <c r="S58" s="81">
        <f>T58+U58+V58</f>
        <v>0</v>
      </c>
      <c r="T58" s="82">
        <v>0</v>
      </c>
      <c r="U58" s="82">
        <v>0</v>
      </c>
      <c r="V58" s="82">
        <v>0</v>
      </c>
      <c r="W58" s="81">
        <f>X58+Y58+Z58</f>
        <v>0</v>
      </c>
      <c r="X58" s="82">
        <v>0</v>
      </c>
      <c r="Y58" s="82">
        <v>0</v>
      </c>
      <c r="Z58" s="82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2.5" customHeight="1">
      <c r="A59" s="19"/>
      <c r="B59" s="106" t="s">
        <v>61</v>
      </c>
      <c r="C59" s="80" t="s">
        <v>92</v>
      </c>
      <c r="D59" s="81">
        <f t="shared" si="43"/>
        <v>367.674</v>
      </c>
      <c r="E59" s="82">
        <f t="shared" si="44"/>
        <v>0</v>
      </c>
      <c r="F59" s="83">
        <f t="shared" si="44"/>
        <v>0</v>
      </c>
      <c r="G59" s="83">
        <f t="shared" si="44"/>
        <v>0</v>
      </c>
      <c r="H59" s="83">
        <f>J59+O59</f>
        <v>367.674</v>
      </c>
      <c r="I59" s="84">
        <f>K59+L59+M59</f>
        <v>0</v>
      </c>
      <c r="J59" s="84">
        <f aca="true" t="shared" si="46" ref="J59:J65">SUM(K59:M59)</f>
        <v>0</v>
      </c>
      <c r="K59" s="85">
        <v>0</v>
      </c>
      <c r="L59" s="85">
        <v>0</v>
      </c>
      <c r="M59" s="85">
        <v>0</v>
      </c>
      <c r="N59" s="81">
        <f>P59+Q59+R59</f>
        <v>367.674</v>
      </c>
      <c r="O59" s="81">
        <f t="shared" si="45"/>
        <v>367.674</v>
      </c>
      <c r="P59" s="82">
        <v>0</v>
      </c>
      <c r="Q59" s="82">
        <f>1397.2-1047.9</f>
        <v>349.29999999999995</v>
      </c>
      <c r="R59" s="82">
        <f>73.6-55.226</f>
        <v>18.373999999999995</v>
      </c>
      <c r="S59" s="81">
        <f>T59+U59+V59</f>
        <v>0</v>
      </c>
      <c r="T59" s="82">
        <v>0</v>
      </c>
      <c r="U59" s="82">
        <v>0</v>
      </c>
      <c r="V59" s="82">
        <v>0</v>
      </c>
      <c r="W59" s="81">
        <f>X59+Y59+Z59</f>
        <v>0</v>
      </c>
      <c r="X59" s="82">
        <v>0</v>
      </c>
      <c r="Y59" s="82">
        <v>0</v>
      </c>
      <c r="Z59" s="82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4.75" customHeight="1">
      <c r="A60" s="19"/>
      <c r="B60" s="106" t="s">
        <v>62</v>
      </c>
      <c r="C60" s="80" t="s">
        <v>92</v>
      </c>
      <c r="D60" s="81">
        <f t="shared" si="43"/>
        <v>117.14200000000004</v>
      </c>
      <c r="E60" s="82">
        <f t="shared" si="44"/>
        <v>0</v>
      </c>
      <c r="F60" s="83">
        <f t="shared" si="44"/>
        <v>0</v>
      </c>
      <c r="G60" s="83">
        <f t="shared" si="44"/>
        <v>0</v>
      </c>
      <c r="H60" s="83">
        <f>J60+O60</f>
        <v>117.14200000000004</v>
      </c>
      <c r="I60" s="84">
        <f>K60+L60+M60</f>
        <v>0</v>
      </c>
      <c r="J60" s="84">
        <f t="shared" si="46"/>
        <v>0</v>
      </c>
      <c r="K60" s="85">
        <v>0</v>
      </c>
      <c r="L60" s="85">
        <v>0</v>
      </c>
      <c r="M60" s="85">
        <v>0</v>
      </c>
      <c r="N60" s="81">
        <f>P60+Q60+R60</f>
        <v>117.14200000000004</v>
      </c>
      <c r="O60" s="81">
        <f t="shared" si="45"/>
        <v>117.14200000000004</v>
      </c>
      <c r="P60" s="82">
        <v>0</v>
      </c>
      <c r="Q60" s="82">
        <f>445.1-333.825</f>
        <v>111.27500000000003</v>
      </c>
      <c r="R60" s="82">
        <f>23.5-17.633</f>
        <v>5.867000000000001</v>
      </c>
      <c r="S60" s="81">
        <f>T60+U60+V60</f>
        <v>0</v>
      </c>
      <c r="T60" s="82">
        <v>0</v>
      </c>
      <c r="U60" s="82">
        <v>0</v>
      </c>
      <c r="V60" s="82">
        <v>0</v>
      </c>
      <c r="W60" s="81">
        <f>X60+Y60+Z60</f>
        <v>0</v>
      </c>
      <c r="X60" s="82">
        <v>0</v>
      </c>
      <c r="Y60" s="82">
        <v>0</v>
      </c>
      <c r="Z60" s="82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3.25" customHeight="1">
      <c r="A61" s="19"/>
      <c r="B61" s="106" t="s">
        <v>63</v>
      </c>
      <c r="C61" s="80" t="s">
        <v>92</v>
      </c>
      <c r="D61" s="81">
        <f t="shared" si="43"/>
        <v>0</v>
      </c>
      <c r="E61" s="82">
        <f t="shared" si="44"/>
        <v>0</v>
      </c>
      <c r="F61" s="83">
        <f t="shared" si="44"/>
        <v>0</v>
      </c>
      <c r="G61" s="83">
        <f t="shared" si="44"/>
        <v>0</v>
      </c>
      <c r="H61" s="83">
        <f>J61+O61</f>
        <v>0</v>
      </c>
      <c r="I61" s="84">
        <f>K61+L61+M61</f>
        <v>0</v>
      </c>
      <c r="J61" s="84">
        <f t="shared" si="46"/>
        <v>0</v>
      </c>
      <c r="K61" s="85">
        <v>0</v>
      </c>
      <c r="L61" s="85">
        <v>0</v>
      </c>
      <c r="M61" s="85">
        <v>0</v>
      </c>
      <c r="N61" s="81">
        <f>P61+Q61+R61</f>
        <v>0</v>
      </c>
      <c r="O61" s="81">
        <f t="shared" si="45"/>
        <v>0</v>
      </c>
      <c r="P61" s="82">
        <v>0</v>
      </c>
      <c r="Q61" s="82">
        <v>0</v>
      </c>
      <c r="R61" s="82">
        <v>0</v>
      </c>
      <c r="S61" s="81">
        <f>T61+U61+V61</f>
        <v>0</v>
      </c>
      <c r="T61" s="82">
        <v>0</v>
      </c>
      <c r="U61" s="82">
        <v>0</v>
      </c>
      <c r="V61" s="82">
        <v>0</v>
      </c>
      <c r="W61" s="81">
        <f>X61+Y61+Z61</f>
        <v>0</v>
      </c>
      <c r="X61" s="82">
        <v>0</v>
      </c>
      <c r="Y61" s="82">
        <v>0</v>
      </c>
      <c r="Z61" s="82"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48" customHeight="1">
      <c r="A62" s="18" t="s">
        <v>83</v>
      </c>
      <c r="B62" s="107" t="s">
        <v>48</v>
      </c>
      <c r="C62" s="80" t="s">
        <v>92</v>
      </c>
      <c r="D62" s="81">
        <f t="shared" si="43"/>
        <v>0</v>
      </c>
      <c r="E62" s="82">
        <f t="shared" si="44"/>
        <v>0</v>
      </c>
      <c r="F62" s="83">
        <f t="shared" si="44"/>
        <v>0</v>
      </c>
      <c r="G62" s="83">
        <f t="shared" si="44"/>
        <v>0</v>
      </c>
      <c r="H62" s="83">
        <f>J62+O62</f>
        <v>0</v>
      </c>
      <c r="I62" s="84">
        <f>K62+L62+M62</f>
        <v>0</v>
      </c>
      <c r="J62" s="84">
        <f t="shared" si="46"/>
        <v>0</v>
      </c>
      <c r="K62" s="85">
        <v>0</v>
      </c>
      <c r="L62" s="85">
        <v>0</v>
      </c>
      <c r="M62" s="89">
        <v>0</v>
      </c>
      <c r="N62" s="81">
        <f>P62+Q62+R62</f>
        <v>0</v>
      </c>
      <c r="O62" s="81">
        <f t="shared" si="45"/>
        <v>0</v>
      </c>
      <c r="P62" s="82">
        <v>0</v>
      </c>
      <c r="Q62" s="82">
        <v>0</v>
      </c>
      <c r="R62" s="82">
        <f>100-100</f>
        <v>0</v>
      </c>
      <c r="S62" s="81">
        <f>T62+U62+V62</f>
        <v>0</v>
      </c>
      <c r="T62" s="82">
        <v>0</v>
      </c>
      <c r="U62" s="82">
        <v>0</v>
      </c>
      <c r="V62" s="82">
        <v>0</v>
      </c>
      <c r="W62" s="81">
        <f>X62+Y62+Z62</f>
        <v>0</v>
      </c>
      <c r="X62" s="82">
        <v>0</v>
      </c>
      <c r="Y62" s="82">
        <v>0</v>
      </c>
      <c r="Z62" s="82">
        <v>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48" customHeight="1">
      <c r="A63" s="18" t="s">
        <v>84</v>
      </c>
      <c r="B63" s="113" t="s">
        <v>105</v>
      </c>
      <c r="C63" s="80" t="s">
        <v>92</v>
      </c>
      <c r="D63" s="81">
        <f t="shared" si="43"/>
        <v>0</v>
      </c>
      <c r="E63" s="81">
        <f aca="true" t="shared" si="47" ref="E63:Z63">E64</f>
        <v>0</v>
      </c>
      <c r="F63" s="81">
        <f t="shared" si="47"/>
        <v>0</v>
      </c>
      <c r="G63" s="81">
        <f t="shared" si="47"/>
        <v>0</v>
      </c>
      <c r="H63" s="81">
        <f t="shared" si="47"/>
        <v>0</v>
      </c>
      <c r="I63" s="81">
        <f t="shared" si="47"/>
        <v>0</v>
      </c>
      <c r="J63" s="84">
        <f t="shared" si="46"/>
        <v>0</v>
      </c>
      <c r="K63" s="81">
        <f t="shared" si="47"/>
        <v>0</v>
      </c>
      <c r="L63" s="81">
        <f t="shared" si="47"/>
        <v>0</v>
      </c>
      <c r="M63" s="81">
        <f t="shared" si="47"/>
        <v>0</v>
      </c>
      <c r="N63" s="81">
        <f t="shared" si="47"/>
        <v>0</v>
      </c>
      <c r="O63" s="81">
        <f t="shared" si="45"/>
        <v>0</v>
      </c>
      <c r="P63" s="81">
        <f t="shared" si="47"/>
        <v>0</v>
      </c>
      <c r="Q63" s="81">
        <f t="shared" si="47"/>
        <v>0</v>
      </c>
      <c r="R63" s="81">
        <f t="shared" si="47"/>
        <v>0</v>
      </c>
      <c r="S63" s="81">
        <f t="shared" si="47"/>
        <v>0</v>
      </c>
      <c r="T63" s="81">
        <f t="shared" si="47"/>
        <v>0</v>
      </c>
      <c r="U63" s="81">
        <f t="shared" si="47"/>
        <v>0</v>
      </c>
      <c r="V63" s="81">
        <f t="shared" si="47"/>
        <v>0</v>
      </c>
      <c r="W63" s="81">
        <f t="shared" si="47"/>
        <v>0</v>
      </c>
      <c r="X63" s="81">
        <f t="shared" si="47"/>
        <v>0</v>
      </c>
      <c r="Y63" s="81">
        <f t="shared" si="47"/>
        <v>0</v>
      </c>
      <c r="Z63" s="81">
        <f t="shared" si="47"/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24" customHeight="1">
      <c r="A64" s="130"/>
      <c r="B64" s="115" t="s">
        <v>106</v>
      </c>
      <c r="C64" s="95" t="s">
        <v>92</v>
      </c>
      <c r="D64" s="128">
        <f t="shared" si="43"/>
        <v>0</v>
      </c>
      <c r="E64" s="89">
        <f aca="true" t="shared" si="48" ref="E64:G65">T64</f>
        <v>0</v>
      </c>
      <c r="F64" s="89">
        <f t="shared" si="48"/>
        <v>0</v>
      </c>
      <c r="G64" s="89">
        <f t="shared" si="48"/>
        <v>0</v>
      </c>
      <c r="H64" s="89">
        <f>J64+O64</f>
        <v>0</v>
      </c>
      <c r="I64" s="133">
        <f>K64+L64+M64</f>
        <v>0</v>
      </c>
      <c r="J64" s="133">
        <f t="shared" si="46"/>
        <v>0</v>
      </c>
      <c r="K64" s="134">
        <v>0</v>
      </c>
      <c r="L64" s="134">
        <v>0</v>
      </c>
      <c r="M64" s="134">
        <v>0</v>
      </c>
      <c r="N64" s="131">
        <f>P64+Q64+R64</f>
        <v>0</v>
      </c>
      <c r="O64" s="131">
        <f t="shared" si="45"/>
        <v>0</v>
      </c>
      <c r="P64" s="132">
        <v>0</v>
      </c>
      <c r="Q64" s="132">
        <f>3759.51-3759.51</f>
        <v>0</v>
      </c>
      <c r="R64" s="135">
        <f>197.869-197.869</f>
        <v>0</v>
      </c>
      <c r="S64" s="131">
        <f>T64+U64+V64</f>
        <v>0</v>
      </c>
      <c r="T64" s="132">
        <v>0</v>
      </c>
      <c r="U64" s="132">
        <v>0</v>
      </c>
      <c r="V64" s="132">
        <v>0</v>
      </c>
      <c r="W64" s="131">
        <f>X64+Y64+Z64</f>
        <v>0</v>
      </c>
      <c r="X64" s="132">
        <v>0</v>
      </c>
      <c r="Y64" s="132">
        <v>0</v>
      </c>
      <c r="Z64" s="132">
        <v>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26" s="3" customFormat="1" ht="36">
      <c r="A65" s="137" t="s">
        <v>124</v>
      </c>
      <c r="B65" s="138" t="s">
        <v>125</v>
      </c>
      <c r="C65" s="139" t="s">
        <v>92</v>
      </c>
      <c r="D65" s="84">
        <f t="shared" si="43"/>
        <v>0</v>
      </c>
      <c r="E65" s="85">
        <f t="shared" si="48"/>
        <v>0</v>
      </c>
      <c r="F65" s="85">
        <f t="shared" si="48"/>
        <v>0</v>
      </c>
      <c r="G65" s="85">
        <f t="shared" si="48"/>
        <v>0</v>
      </c>
      <c r="H65" s="85">
        <f>J65+O65</f>
        <v>0</v>
      </c>
      <c r="I65" s="84">
        <f>K65+L65+M65</f>
        <v>0</v>
      </c>
      <c r="J65" s="84">
        <f t="shared" si="46"/>
        <v>0</v>
      </c>
      <c r="K65" s="85">
        <v>0</v>
      </c>
      <c r="L65" s="85">
        <v>0</v>
      </c>
      <c r="M65" s="85">
        <v>0</v>
      </c>
      <c r="N65" s="84">
        <f>P65+Q65+R65</f>
        <v>0</v>
      </c>
      <c r="O65" s="84">
        <f t="shared" si="45"/>
        <v>0</v>
      </c>
      <c r="P65" s="85">
        <v>0</v>
      </c>
      <c r="Q65" s="85">
        <v>0</v>
      </c>
      <c r="R65" s="136">
        <f>3000-3000</f>
        <v>0</v>
      </c>
      <c r="S65" s="81">
        <f>T65+U65+V65</f>
        <v>0</v>
      </c>
      <c r="T65" s="85">
        <v>0</v>
      </c>
      <c r="U65" s="85">
        <v>0</v>
      </c>
      <c r="V65" s="85">
        <v>0</v>
      </c>
      <c r="W65" s="81">
        <f>X65+Y65+Z65</f>
        <v>0</v>
      </c>
      <c r="X65" s="85">
        <v>0</v>
      </c>
      <c r="Y65" s="85">
        <v>0</v>
      </c>
      <c r="Z65" s="85">
        <v>0</v>
      </c>
    </row>
    <row r="66" spans="2:5" ht="11.25">
      <c r="B66" s="1"/>
      <c r="E66" s="1" t="s">
        <v>122</v>
      </c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  <row r="103" ht="11.25">
      <c r="B103" s="1"/>
    </row>
    <row r="104" ht="11.25">
      <c r="B104" s="1"/>
    </row>
    <row r="105" ht="11.25">
      <c r="B105" s="1"/>
    </row>
    <row r="106" ht="11.25">
      <c r="B106" s="1"/>
    </row>
    <row r="107" ht="11.25">
      <c r="B107" s="1"/>
    </row>
    <row r="108" ht="11.25">
      <c r="B108" s="1"/>
    </row>
    <row r="109" ht="11.25">
      <c r="B109" s="1"/>
    </row>
    <row r="110" ht="11.25">
      <c r="B110" s="1"/>
    </row>
    <row r="111" ht="11.25">
      <c r="B111" s="1"/>
    </row>
    <row r="112" ht="11.25">
      <c r="B112" s="1"/>
    </row>
    <row r="113" ht="11.25">
      <c r="B113" s="1"/>
    </row>
    <row r="114" ht="11.25">
      <c r="B114" s="1"/>
    </row>
    <row r="115" ht="11.25">
      <c r="B115" s="1"/>
    </row>
    <row r="116" ht="11.25">
      <c r="B116" s="1"/>
    </row>
  </sheetData>
  <sheetProtection/>
  <mergeCells count="11">
    <mergeCell ref="S6:V6"/>
    <mergeCell ref="W1:Z3"/>
    <mergeCell ref="D4:H5"/>
    <mergeCell ref="D6:H6"/>
    <mergeCell ref="W6:Z6"/>
    <mergeCell ref="A1:V1"/>
    <mergeCell ref="A4:A7"/>
    <mergeCell ref="B4:B7"/>
    <mergeCell ref="C4:C7"/>
    <mergeCell ref="I6:M6"/>
    <mergeCell ref="N6:R6"/>
  </mergeCells>
  <printOptions/>
  <pageMargins left="0.3937007874015748" right="0.1968503937007874" top="0.7480314960629921" bottom="1.1811023622047245" header="0.31496062992125984" footer="0.8661417322834646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0.28125" style="0" customWidth="1"/>
    <col min="3" max="3" width="14.140625" style="0" customWidth="1"/>
    <col min="4" max="4" width="15.421875" style="0" customWidth="1"/>
    <col min="5" max="5" width="14.28125" style="0" customWidth="1"/>
    <col min="6" max="6" width="14.28125" style="40" customWidth="1"/>
    <col min="7" max="7" width="14.140625" style="0" customWidth="1"/>
    <col min="8" max="8" width="12.00390625" style="0" bestFit="1" customWidth="1"/>
  </cols>
  <sheetData>
    <row r="1" spans="1:7" ht="15">
      <c r="A1" s="41"/>
      <c r="B1" s="41"/>
      <c r="C1" s="41"/>
      <c r="D1" s="41"/>
      <c r="E1" s="41"/>
      <c r="F1" s="41"/>
      <c r="G1" s="41"/>
    </row>
    <row r="2" spans="1:7" ht="15">
      <c r="A2" s="41"/>
      <c r="B2" s="41"/>
      <c r="C2" s="42"/>
      <c r="D2" s="43"/>
      <c r="E2" s="43"/>
      <c r="F2" s="43"/>
      <c r="G2" s="41"/>
    </row>
    <row r="3" spans="1:7" ht="15.75">
      <c r="A3" s="44" t="s">
        <v>75</v>
      </c>
      <c r="B3" s="45"/>
      <c r="C3" s="46">
        <v>2019</v>
      </c>
      <c r="D3" s="47">
        <v>2020</v>
      </c>
      <c r="E3" s="47">
        <v>2021</v>
      </c>
      <c r="F3" s="46">
        <v>2022</v>
      </c>
      <c r="G3" s="48" t="s">
        <v>76</v>
      </c>
    </row>
    <row r="4" spans="1:7" ht="15">
      <c r="A4" s="49" t="s">
        <v>0</v>
      </c>
      <c r="B4" s="45"/>
      <c r="C4" s="39">
        <f>'1 подпр'!I8</f>
        <v>16231.5841</v>
      </c>
      <c r="D4" s="39">
        <f>'1 подпр'!N8</f>
        <v>47704.53774</v>
      </c>
      <c r="E4" s="39">
        <f>'1 подпр'!V8</f>
        <v>3160</v>
      </c>
      <c r="F4" s="39">
        <f>'1 подпр'!Z8</f>
        <v>3286.8</v>
      </c>
      <c r="G4" s="38">
        <f>'1 подпр'!D8</f>
        <v>70382.92184</v>
      </c>
    </row>
    <row r="5" spans="1:7" ht="15">
      <c r="A5" s="49" t="s">
        <v>39</v>
      </c>
      <c r="B5" s="45"/>
      <c r="C5" s="69">
        <v>0</v>
      </c>
      <c r="D5" s="69">
        <f>'1 подпр'!K8</f>
        <v>0</v>
      </c>
      <c r="E5" s="69">
        <f>'1 подпр'!W8</f>
        <v>0</v>
      </c>
      <c r="F5" s="69">
        <f>'1 подпр'!AA8</f>
        <v>0</v>
      </c>
      <c r="G5" s="70">
        <f>'1 подпр'!E8</f>
        <v>0</v>
      </c>
    </row>
    <row r="6" spans="1:8" ht="15">
      <c r="A6" s="49" t="s">
        <v>40</v>
      </c>
      <c r="B6" s="45"/>
      <c r="C6" s="69">
        <v>0</v>
      </c>
      <c r="D6" s="69">
        <f>'1 подпр'!P8</f>
        <v>944.8</v>
      </c>
      <c r="E6" s="69">
        <f>'1 подпр'!X8</f>
        <v>944.8</v>
      </c>
      <c r="F6" s="69">
        <f>'1 подпр'!AB8</f>
        <v>944.8</v>
      </c>
      <c r="G6" s="70">
        <f>'1 подпр'!F8</f>
        <v>2834.3999999999996</v>
      </c>
      <c r="H6" s="119"/>
    </row>
    <row r="7" spans="1:8" ht="15">
      <c r="A7" s="49" t="s">
        <v>41</v>
      </c>
      <c r="B7" s="45"/>
      <c r="C7" s="69">
        <v>0</v>
      </c>
      <c r="D7" s="69">
        <f>'1 подпр'!Q8</f>
        <v>2120</v>
      </c>
      <c r="E7" s="69">
        <f>'1 подпр'!Y8</f>
        <v>2215.2</v>
      </c>
      <c r="F7" s="69">
        <f>'1 подпр'!AC8</f>
        <v>2342</v>
      </c>
      <c r="G7" s="70">
        <f>'1 подпр'!G8</f>
        <v>6677.2</v>
      </c>
      <c r="H7" s="119"/>
    </row>
    <row r="8" spans="1:8" s="40" customFormat="1" ht="15">
      <c r="A8" s="49" t="s">
        <v>120</v>
      </c>
      <c r="B8" s="45"/>
      <c r="C8" s="69">
        <f>'1 подпр'!J8</f>
        <v>16231.5841</v>
      </c>
      <c r="D8" s="69">
        <f>'1 подпр'!R8</f>
        <v>44639.73774</v>
      </c>
      <c r="E8" s="69">
        <v>0</v>
      </c>
      <c r="F8" s="69">
        <v>0</v>
      </c>
      <c r="G8" s="70">
        <f>'1 подпр'!H8</f>
        <v>60871.32184</v>
      </c>
      <c r="H8" s="119"/>
    </row>
    <row r="9" spans="1:8" ht="15">
      <c r="A9" s="41"/>
      <c r="B9" s="41"/>
      <c r="C9" s="65"/>
      <c r="D9" s="66"/>
      <c r="E9" s="66"/>
      <c r="F9" s="66"/>
      <c r="G9" s="67"/>
      <c r="H9" s="119"/>
    </row>
    <row r="10" spans="1:8" ht="15.75">
      <c r="A10" s="50" t="s">
        <v>77</v>
      </c>
      <c r="B10" s="45"/>
      <c r="C10" s="54">
        <v>2019</v>
      </c>
      <c r="D10" s="55">
        <v>2020</v>
      </c>
      <c r="E10" s="55">
        <v>2021</v>
      </c>
      <c r="F10" s="54">
        <v>2022</v>
      </c>
      <c r="G10" s="68"/>
      <c r="H10" s="119"/>
    </row>
    <row r="11" spans="1:8" ht="15">
      <c r="A11" s="49" t="s">
        <v>0</v>
      </c>
      <c r="B11" s="45"/>
      <c r="C11" s="39">
        <f>'2 подпр '!I8</f>
        <v>29323.61162</v>
      </c>
      <c r="D11" s="39">
        <f>'2 подпр '!N8</f>
        <v>90364.26404</v>
      </c>
      <c r="E11" s="39">
        <f>'2 подпр '!S8</f>
        <v>0</v>
      </c>
      <c r="F11" s="39">
        <f>'2 подпр '!W8</f>
        <v>0</v>
      </c>
      <c r="G11" s="39">
        <f>'2 подпр '!D8</f>
        <v>119687.87566000002</v>
      </c>
      <c r="H11" s="119"/>
    </row>
    <row r="12" spans="1:8" ht="15">
      <c r="A12" s="49" t="s">
        <v>39</v>
      </c>
      <c r="B12" s="45"/>
      <c r="C12" s="69">
        <v>0</v>
      </c>
      <c r="D12" s="71">
        <f>'2 подпр '!P8</f>
        <v>0</v>
      </c>
      <c r="E12" s="71">
        <f>'2 подпр '!T8</f>
        <v>0</v>
      </c>
      <c r="F12" s="69">
        <f>'2 подпр '!X8</f>
        <v>0</v>
      </c>
      <c r="G12" s="70">
        <f>'2 подпр '!E8</f>
        <v>0</v>
      </c>
      <c r="H12" s="119"/>
    </row>
    <row r="13" spans="1:8" ht="15">
      <c r="A13" s="49" t="s">
        <v>40</v>
      </c>
      <c r="B13" s="45"/>
      <c r="C13" s="69">
        <v>0</v>
      </c>
      <c r="D13" s="71">
        <v>0</v>
      </c>
      <c r="E13" s="71">
        <f>'2 подпр '!U8</f>
        <v>0</v>
      </c>
      <c r="F13" s="69">
        <f>'2 подпр '!Y8</f>
        <v>0</v>
      </c>
      <c r="G13" s="70">
        <f>'2 подпр '!F8</f>
        <v>0</v>
      </c>
      <c r="H13" s="119"/>
    </row>
    <row r="14" spans="1:8" ht="15">
      <c r="A14" s="49" t="s">
        <v>41</v>
      </c>
      <c r="B14" s="45"/>
      <c r="C14" s="69">
        <v>0</v>
      </c>
      <c r="D14" s="71">
        <v>0</v>
      </c>
      <c r="E14" s="71">
        <f>'2 подпр '!V8</f>
        <v>0</v>
      </c>
      <c r="F14" s="69">
        <f>'2 подпр '!Z8</f>
        <v>0</v>
      </c>
      <c r="G14" s="70">
        <f>'2 подпр '!G8</f>
        <v>0</v>
      </c>
      <c r="H14" s="119"/>
    </row>
    <row r="15" spans="1:8" s="40" customFormat="1" ht="15">
      <c r="A15" s="49" t="s">
        <v>120</v>
      </c>
      <c r="B15" s="45"/>
      <c r="C15" s="69">
        <f>'2 подпр '!J8</f>
        <v>29323.61162</v>
      </c>
      <c r="D15" s="71">
        <f>'2 подпр '!O8</f>
        <v>90364.26404</v>
      </c>
      <c r="E15" s="71">
        <v>0</v>
      </c>
      <c r="F15" s="69">
        <v>0</v>
      </c>
      <c r="G15" s="70">
        <f>'2 подпр '!H8</f>
        <v>119687.87566000002</v>
      </c>
      <c r="H15" s="119"/>
    </row>
    <row r="16" spans="1:8" ht="15">
      <c r="A16" s="41"/>
      <c r="B16" s="41"/>
      <c r="C16" s="65"/>
      <c r="D16" s="66"/>
      <c r="E16" s="66"/>
      <c r="F16" s="66"/>
      <c r="G16" s="67"/>
      <c r="H16" s="119"/>
    </row>
    <row r="17" spans="1:8" ht="15.75">
      <c r="A17" s="50"/>
      <c r="B17" s="45"/>
      <c r="C17" s="54">
        <v>2019</v>
      </c>
      <c r="D17" s="55">
        <v>2020</v>
      </c>
      <c r="E17" s="55">
        <v>2021</v>
      </c>
      <c r="F17" s="54">
        <v>2022</v>
      </c>
      <c r="G17" s="64"/>
      <c r="H17" s="119"/>
    </row>
    <row r="18" spans="1:8" ht="15">
      <c r="A18" s="49" t="s">
        <v>0</v>
      </c>
      <c r="B18" s="45"/>
      <c r="C18" s="39">
        <f>C4+C11</f>
        <v>45555.19572</v>
      </c>
      <c r="D18" s="39">
        <f>D4+D11</f>
        <v>138068.80177999998</v>
      </c>
      <c r="E18" s="39">
        <f>E4+E11</f>
        <v>3160</v>
      </c>
      <c r="F18" s="39">
        <f>F4+F11</f>
        <v>3286.8</v>
      </c>
      <c r="G18" s="39">
        <f>G4+G11</f>
        <v>190070.79750000002</v>
      </c>
      <c r="H18" s="119"/>
    </row>
    <row r="19" spans="1:8" ht="15">
      <c r="A19" s="49" t="s">
        <v>39</v>
      </c>
      <c r="B19" s="45"/>
      <c r="C19" s="69">
        <v>0</v>
      </c>
      <c r="D19" s="69">
        <f aca="true" t="shared" si="0" ref="D19:G21">D5+D12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119"/>
    </row>
    <row r="20" spans="1:8" ht="15">
      <c r="A20" s="49" t="s">
        <v>40</v>
      </c>
      <c r="B20" s="45"/>
      <c r="C20" s="69">
        <f>C6+C13</f>
        <v>0</v>
      </c>
      <c r="D20" s="69">
        <f t="shared" si="0"/>
        <v>944.8</v>
      </c>
      <c r="E20" s="69">
        <f t="shared" si="0"/>
        <v>944.8</v>
      </c>
      <c r="F20" s="69">
        <f t="shared" si="0"/>
        <v>944.8</v>
      </c>
      <c r="G20" s="69">
        <f t="shared" si="0"/>
        <v>2834.3999999999996</v>
      </c>
      <c r="H20" s="119"/>
    </row>
    <row r="21" spans="1:8" ht="15">
      <c r="A21" s="49" t="s">
        <v>41</v>
      </c>
      <c r="B21" s="45"/>
      <c r="C21" s="69">
        <f>C7+C14</f>
        <v>0</v>
      </c>
      <c r="D21" s="69">
        <f>D7+D14</f>
        <v>2120</v>
      </c>
      <c r="E21" s="69">
        <f t="shared" si="0"/>
        <v>2215.2</v>
      </c>
      <c r="F21" s="69">
        <f t="shared" si="0"/>
        <v>2342</v>
      </c>
      <c r="G21" s="69">
        <f t="shared" si="0"/>
        <v>6677.2</v>
      </c>
      <c r="H21" s="119"/>
    </row>
    <row r="22" spans="1:8" s="40" customFormat="1" ht="15">
      <c r="A22" s="49" t="s">
        <v>120</v>
      </c>
      <c r="B22" s="45"/>
      <c r="C22" s="69">
        <f>'1 подпр'!J8+'2 подпр '!J8</f>
        <v>45555.19572</v>
      </c>
      <c r="D22" s="69">
        <f>'1 подпр'!R8+'2 подпр '!O8</f>
        <v>135004.00178</v>
      </c>
      <c r="E22" s="69">
        <v>0</v>
      </c>
      <c r="F22" s="69">
        <v>0</v>
      </c>
      <c r="G22" s="69">
        <f>SUM(C22:F22)</f>
        <v>180559.1975</v>
      </c>
      <c r="H22" s="119"/>
    </row>
    <row r="23" spans="1:8" ht="15">
      <c r="A23" s="41"/>
      <c r="B23" s="41"/>
      <c r="C23" s="51"/>
      <c r="D23" s="56"/>
      <c r="E23" s="56"/>
      <c r="F23" s="56"/>
      <c r="G23" s="57"/>
      <c r="H23" s="58"/>
    </row>
    <row r="24" spans="1:8" ht="15">
      <c r="A24" s="41"/>
      <c r="B24" s="41"/>
      <c r="C24" s="53"/>
      <c r="D24" s="52"/>
      <c r="E24" s="52"/>
      <c r="F24" s="52"/>
      <c r="G24" s="59"/>
      <c r="H24" s="58"/>
    </row>
    <row r="25" spans="1:8" ht="15">
      <c r="A25" s="41"/>
      <c r="B25" s="41"/>
      <c r="C25" s="60"/>
      <c r="D25" s="61"/>
      <c r="E25" s="61"/>
      <c r="F25" s="61"/>
      <c r="G25" s="62"/>
      <c r="H25" s="58"/>
    </row>
    <row r="26" spans="1:8" ht="15">
      <c r="A26" s="41"/>
      <c r="B26" s="41"/>
      <c r="C26" s="60"/>
      <c r="D26" s="51"/>
      <c r="E26" s="51"/>
      <c r="F26" s="51"/>
      <c r="G26" s="51"/>
      <c r="H26" s="58"/>
    </row>
    <row r="27" spans="1:8" ht="15">
      <c r="A27" s="41"/>
      <c r="B27" s="41"/>
      <c r="C27" s="60"/>
      <c r="D27" s="63"/>
      <c r="E27" s="63"/>
      <c r="F27" s="63"/>
      <c r="G27" s="63"/>
      <c r="H27" s="58"/>
    </row>
    <row r="28" spans="1:8" ht="15">
      <c r="A28" s="30"/>
      <c r="B28" s="30"/>
      <c r="C28" s="35"/>
      <c r="D28" s="34"/>
      <c r="E28" s="34"/>
      <c r="F28" s="62"/>
      <c r="G28" s="34"/>
      <c r="H28" s="33"/>
    </row>
    <row r="29" spans="1:7" ht="15">
      <c r="A29" s="30"/>
      <c r="B29" s="30"/>
      <c r="C29" s="31"/>
      <c r="D29" s="30"/>
      <c r="E29" s="30"/>
      <c r="F29" s="41"/>
      <c r="G29" s="30"/>
    </row>
    <row r="30" spans="1:7" ht="15">
      <c r="A30" s="30"/>
      <c r="B30" s="30"/>
      <c r="C30" s="30"/>
      <c r="D30" s="30"/>
      <c r="E30" s="30"/>
      <c r="F30" s="41"/>
      <c r="G30" s="3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Lunev</dc:creator>
  <cp:keywords/>
  <dc:description/>
  <cp:lastModifiedBy>Людмила В. Сорокина</cp:lastModifiedBy>
  <cp:lastPrinted>2020-06-26T12:29:05Z</cp:lastPrinted>
  <dcterms:created xsi:type="dcterms:W3CDTF">2013-09-29T11:17:01Z</dcterms:created>
  <dcterms:modified xsi:type="dcterms:W3CDTF">2020-06-30T06:47:44Z</dcterms:modified>
  <cp:category/>
  <cp:version/>
  <cp:contentType/>
  <cp:contentStatus/>
</cp:coreProperties>
</file>