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95" windowWidth="7635" windowHeight="5340" firstSheet="1" activeTab="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</sheets>
  <definedNames>
    <definedName name="_xlnm.Print_Titles" localSheetId="1">'1 подпр'!$9:$10</definedName>
    <definedName name="_xlnm.Print_Titles" localSheetId="2">'2 подпр'!$A:$B,'2 подпр'!$4:$5</definedName>
    <definedName name="_xlnm.Print_Area" localSheetId="1">'1 подпр'!$A$1:$AT$116</definedName>
    <definedName name="_xlnm.Print_Area" localSheetId="2">'2 подпр'!$A$1:$AS$267</definedName>
    <definedName name="_xlnm.Print_Area" localSheetId="3">'3-подпр'!$A$1:$AS$23</definedName>
    <definedName name="_xlnm.Print_Area" localSheetId="4">'4-подпр'!$A$2:$AS$32</definedName>
    <definedName name="_xlnm.Print_Area" localSheetId="5">'5-подпр'!$A$1:$AR$14</definedName>
    <definedName name="_xlnm.Print_Area" localSheetId="10">'6-подпр '!$A$1:$AS$14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1">свод.!$A$1:$L$45</definedName>
  </definedNames>
  <calcPr calcId="144525"/>
</workbook>
</file>

<file path=xl/calcChain.xml><?xml version="1.0" encoding="utf-8"?>
<calcChain xmlns="http://schemas.openxmlformats.org/spreadsheetml/2006/main">
  <c r="J20" i="41" l="1"/>
  <c r="J13" i="41"/>
  <c r="AN10" i="37"/>
  <c r="AO266" i="27"/>
  <c r="J7" i="41" l="1"/>
  <c r="AP70" i="22" l="1"/>
  <c r="AL18" i="22" l="1"/>
  <c r="AK29" i="27" l="1"/>
  <c r="AL31" i="22"/>
  <c r="AL22" i="22" l="1"/>
  <c r="AL14" i="22"/>
  <c r="AH61" i="27" l="1"/>
  <c r="AK164" i="27" l="1"/>
  <c r="AI164" i="27"/>
  <c r="AJ164" i="27"/>
  <c r="AH229" i="27"/>
  <c r="AH222" i="27"/>
  <c r="AH223" i="27"/>
  <c r="AH213" i="27"/>
  <c r="AK11" i="22" l="1"/>
  <c r="I4" i="41" l="1"/>
  <c r="AK23" i="27" l="1"/>
  <c r="AI62" i="22"/>
  <c r="I42" i="41" l="1"/>
  <c r="E10" i="27" l="1"/>
  <c r="AF20" i="27" l="1"/>
  <c r="AJ18" i="37"/>
  <c r="AJ23" i="37"/>
  <c r="AJ10" i="37"/>
  <c r="AK33" i="22" l="1"/>
  <c r="AL40" i="22"/>
  <c r="F70" i="22" l="1"/>
  <c r="F71" i="22"/>
  <c r="E71" i="22" s="1"/>
  <c r="G70" i="22"/>
  <c r="G71" i="22"/>
  <c r="H70" i="22"/>
  <c r="H71" i="22"/>
  <c r="E70" i="22" l="1"/>
  <c r="J5" i="41"/>
  <c r="AP64" i="22" l="1"/>
  <c r="AT64" i="22"/>
  <c r="AT22" i="22"/>
  <c r="AP22" i="22"/>
  <c r="AJ19" i="37"/>
  <c r="AH227" i="27"/>
  <c r="AH228" i="27"/>
  <c r="AH230" i="27"/>
  <c r="AK203" i="27"/>
  <c r="AK62" i="27"/>
  <c r="AT96" i="22" l="1"/>
  <c r="AQ71" i="22"/>
  <c r="AQ70" i="22"/>
  <c r="AP96" i="22"/>
  <c r="AM96" i="22" s="1"/>
  <c r="AM71" i="22"/>
  <c r="AM70" i="22"/>
  <c r="AL13" i="22"/>
  <c r="AI96" i="22"/>
  <c r="AI71" i="22"/>
  <c r="AI70" i="22"/>
  <c r="AG74" i="22"/>
  <c r="AN74" i="22"/>
  <c r="AO74" i="22"/>
  <c r="AP74" i="22"/>
  <c r="AR74" i="22"/>
  <c r="AS74" i="22"/>
  <c r="AT74" i="22"/>
  <c r="J75" i="22"/>
  <c r="J74" i="22" s="1"/>
  <c r="K75" i="22"/>
  <c r="K74" i="22" s="1"/>
  <c r="L75" i="22"/>
  <c r="L74" i="22" s="1"/>
  <c r="N75" i="22"/>
  <c r="N74" i="22" s="1"/>
  <c r="O75" i="22"/>
  <c r="O74" i="22" s="1"/>
  <c r="P75" i="22"/>
  <c r="P74" i="22" s="1"/>
  <c r="R75" i="22"/>
  <c r="R74" i="22" s="1"/>
  <c r="S75" i="22"/>
  <c r="S74" i="22" s="1"/>
  <c r="T75" i="22"/>
  <c r="T74" i="22" s="1"/>
  <c r="V75" i="22"/>
  <c r="V74" i="22" s="1"/>
  <c r="W75" i="22"/>
  <c r="W74" i="22" s="1"/>
  <c r="Z75" i="22"/>
  <c r="Z74" i="22" s="1"/>
  <c r="AA75" i="22"/>
  <c r="AA74" i="22" s="1"/>
  <c r="AF75" i="22"/>
  <c r="AF74" i="22" s="1"/>
  <c r="AG75" i="22"/>
  <c r="F76" i="22"/>
  <c r="G76" i="22"/>
  <c r="I76" i="22"/>
  <c r="M76" i="22"/>
  <c r="Q76" i="22"/>
  <c r="U76" i="22"/>
  <c r="AB76" i="22"/>
  <c r="AH76" i="22"/>
  <c r="AH75" i="22" s="1"/>
  <c r="AL76" i="22"/>
  <c r="AL74" i="22" s="1"/>
  <c r="AI74" i="22" s="1"/>
  <c r="AM76" i="22"/>
  <c r="AQ76" i="22"/>
  <c r="F77" i="22"/>
  <c r="G77" i="22"/>
  <c r="H77" i="22"/>
  <c r="I77" i="22"/>
  <c r="M77" i="22"/>
  <c r="Q77" i="22"/>
  <c r="U77" i="22"/>
  <c r="Y77" i="22"/>
  <c r="AE77" i="22"/>
  <c r="AI77" i="22"/>
  <c r="AM77" i="22"/>
  <c r="AQ77" i="22"/>
  <c r="F78" i="22"/>
  <c r="G78" i="22"/>
  <c r="H78" i="22"/>
  <c r="I78" i="22"/>
  <c r="M78" i="22"/>
  <c r="Q78" i="22"/>
  <c r="U78" i="22"/>
  <c r="Y78" i="22"/>
  <c r="AE78" i="22"/>
  <c r="AI78" i="22"/>
  <c r="AM78" i="22"/>
  <c r="AQ78" i="22"/>
  <c r="F79" i="22"/>
  <c r="E79" i="22" s="1"/>
  <c r="G79" i="22"/>
  <c r="H79" i="22"/>
  <c r="I79" i="22"/>
  <c r="M79" i="22"/>
  <c r="Q79" i="22"/>
  <c r="U79" i="22"/>
  <c r="Y79" i="22"/>
  <c r="AE79" i="22"/>
  <c r="AI79" i="22"/>
  <c r="AM79" i="22"/>
  <c r="AQ79" i="22"/>
  <c r="F80" i="22"/>
  <c r="G80" i="22"/>
  <c r="I80" i="22"/>
  <c r="M80" i="22"/>
  <c r="Q80" i="22"/>
  <c r="X80" i="22"/>
  <c r="AB80" i="22"/>
  <c r="Y80" i="22" s="1"/>
  <c r="AE80" i="22"/>
  <c r="AI80" i="22"/>
  <c r="AM80" i="22"/>
  <c r="AQ80" i="22"/>
  <c r="F81" i="22"/>
  <c r="G81" i="22"/>
  <c r="I81" i="22"/>
  <c r="M81" i="22"/>
  <c r="Q81" i="22"/>
  <c r="X81" i="22"/>
  <c r="H81" i="22" s="1"/>
  <c r="E81" i="22" s="1"/>
  <c r="Y81" i="22"/>
  <c r="AE81" i="22"/>
  <c r="AI81" i="22"/>
  <c r="AM81" i="22"/>
  <c r="AQ81" i="22"/>
  <c r="F82" i="22"/>
  <c r="G82" i="22"/>
  <c r="I82" i="22"/>
  <c r="M82" i="22"/>
  <c r="Q82" i="22"/>
  <c r="X82" i="22"/>
  <c r="Y82" i="22"/>
  <c r="AE82" i="22"/>
  <c r="AI82" i="22"/>
  <c r="AM82" i="22"/>
  <c r="AQ82" i="22"/>
  <c r="F83" i="22"/>
  <c r="H83" i="22"/>
  <c r="E83" i="22" s="1"/>
  <c r="I83" i="22"/>
  <c r="M83" i="22"/>
  <c r="Q83" i="22"/>
  <c r="AE83" i="22"/>
  <c r="H84" i="22"/>
  <c r="E84" i="22" s="1"/>
  <c r="AE84" i="22"/>
  <c r="N85" i="22"/>
  <c r="AL85" i="22"/>
  <c r="AI85" i="22" s="1"/>
  <c r="AP85" i="22"/>
  <c r="AM85" i="22" s="1"/>
  <c r="AT85" i="22"/>
  <c r="AQ85" i="22" s="1"/>
  <c r="J86" i="22"/>
  <c r="K86" i="22"/>
  <c r="K85" i="22" s="1"/>
  <c r="L86" i="22"/>
  <c r="L85" i="22" s="1"/>
  <c r="N86" i="22"/>
  <c r="O86" i="22"/>
  <c r="M86" i="22" s="1"/>
  <c r="P86" i="22"/>
  <c r="P85" i="22" s="1"/>
  <c r="R86" i="22"/>
  <c r="R85" i="22" s="1"/>
  <c r="S86" i="22"/>
  <c r="T86" i="22"/>
  <c r="T85" i="22" s="1"/>
  <c r="V86" i="22"/>
  <c r="V85" i="22" s="1"/>
  <c r="W86" i="22"/>
  <c r="W85" i="22" s="1"/>
  <c r="X86" i="22"/>
  <c r="X85" i="22" s="1"/>
  <c r="Z86" i="22"/>
  <c r="Z85" i="22" s="1"/>
  <c r="AA86" i="22"/>
  <c r="AA85" i="22" s="1"/>
  <c r="AF86" i="22"/>
  <c r="AF85" i="22" s="1"/>
  <c r="AG86" i="22"/>
  <c r="AH86" i="22"/>
  <c r="AH85" i="22" s="1"/>
  <c r="AM86" i="22"/>
  <c r="AQ86" i="22"/>
  <c r="F87" i="22"/>
  <c r="G87" i="22"/>
  <c r="I87" i="22"/>
  <c r="M87" i="22"/>
  <c r="Q87" i="22"/>
  <c r="U87" i="22"/>
  <c r="AB87" i="22"/>
  <c r="H87" i="22" s="1"/>
  <c r="AE87" i="22"/>
  <c r="AI87" i="22"/>
  <c r="AM87" i="22"/>
  <c r="AQ87" i="22"/>
  <c r="F88" i="22"/>
  <c r="G88" i="22"/>
  <c r="I88" i="22"/>
  <c r="M88" i="22"/>
  <c r="Q88" i="22"/>
  <c r="U88" i="22"/>
  <c r="AB88" i="22"/>
  <c r="H88" i="22" s="1"/>
  <c r="AE88" i="22"/>
  <c r="AI88" i="22"/>
  <c r="AM88" i="22"/>
  <c r="AQ88" i="22"/>
  <c r="AP89" i="22"/>
  <c r="AL90" i="22"/>
  <c r="AI90" i="22" s="1"/>
  <c r="AN90" i="22"/>
  <c r="AN89" i="22" s="1"/>
  <c r="AO90" i="22"/>
  <c r="AO89" i="22" s="1"/>
  <c r="AP90" i="22"/>
  <c r="AR90" i="22"/>
  <c r="AR89" i="22" s="1"/>
  <c r="AS90" i="22"/>
  <c r="AS89" i="22" s="1"/>
  <c r="AT90" i="22"/>
  <c r="AT89" i="22" s="1"/>
  <c r="J91" i="22"/>
  <c r="J90" i="22" s="1"/>
  <c r="K91" i="22"/>
  <c r="L91" i="22"/>
  <c r="L90" i="22" s="1"/>
  <c r="L89" i="22" s="1"/>
  <c r="N91" i="22"/>
  <c r="N90" i="22" s="1"/>
  <c r="N89" i="22" s="1"/>
  <c r="O91" i="22"/>
  <c r="P91" i="22"/>
  <c r="P90" i="22" s="1"/>
  <c r="P89" i="22" s="1"/>
  <c r="R91" i="22"/>
  <c r="R90" i="22" s="1"/>
  <c r="R89" i="22" s="1"/>
  <c r="S91" i="22"/>
  <c r="S90" i="22" s="1"/>
  <c r="S89" i="22" s="1"/>
  <c r="T91" i="22"/>
  <c r="T90" i="22" s="1"/>
  <c r="T89" i="22" s="1"/>
  <c r="V91" i="22"/>
  <c r="V90" i="22" s="1"/>
  <c r="V89" i="22" s="1"/>
  <c r="W91" i="22"/>
  <c r="W90" i="22" s="1"/>
  <c r="W89" i="22" s="1"/>
  <c r="Z91" i="22"/>
  <c r="Z90" i="22" s="1"/>
  <c r="Z89" i="22" s="1"/>
  <c r="AA91" i="22"/>
  <c r="AA90" i="22" s="1"/>
  <c r="AA89" i="22" s="1"/>
  <c r="AF91" i="22"/>
  <c r="AF90" i="22" s="1"/>
  <c r="AF89" i="22" s="1"/>
  <c r="AG91" i="22"/>
  <c r="AG90" i="22" s="1"/>
  <c r="AG89" i="22" s="1"/>
  <c r="AM91" i="22"/>
  <c r="AQ91" i="22"/>
  <c r="F92" i="22"/>
  <c r="E92" i="22" s="1"/>
  <c r="G92" i="22"/>
  <c r="I92" i="22"/>
  <c r="M92" i="22"/>
  <c r="Q92" i="22"/>
  <c r="U92" i="22"/>
  <c r="Y92" i="22"/>
  <c r="AH92" i="22"/>
  <c r="H92" i="22" s="1"/>
  <c r="AI92" i="22"/>
  <c r="AM92" i="22"/>
  <c r="AQ92" i="22"/>
  <c r="F93" i="22"/>
  <c r="G93" i="22"/>
  <c r="I93" i="22"/>
  <c r="M93" i="22"/>
  <c r="Q93" i="22"/>
  <c r="X93" i="22"/>
  <c r="AB93" i="22"/>
  <c r="AB91" i="22" s="1"/>
  <c r="AB90" i="22" s="1"/>
  <c r="AB89" i="22" s="1"/>
  <c r="AE93" i="22"/>
  <c r="AI93" i="22"/>
  <c r="AM93" i="22"/>
  <c r="AQ93" i="22"/>
  <c r="AF95" i="22"/>
  <c r="AF94" i="22" s="1"/>
  <c r="AJ95" i="22"/>
  <c r="AJ94" i="22" s="1"/>
  <c r="AN95" i="22"/>
  <c r="AR95" i="22"/>
  <c r="F96" i="22"/>
  <c r="I96" i="22"/>
  <c r="M96" i="22"/>
  <c r="Q96" i="22"/>
  <c r="X96" i="22"/>
  <c r="U96" i="22" s="1"/>
  <c r="AA96" i="22"/>
  <c r="AB96" i="22"/>
  <c r="AE96" i="22"/>
  <c r="J97" i="22"/>
  <c r="K97" i="22"/>
  <c r="K95" i="22" s="1"/>
  <c r="L97" i="22"/>
  <c r="L95" i="22" s="1"/>
  <c r="L94" i="22" s="1"/>
  <c r="N97" i="22"/>
  <c r="O97" i="22"/>
  <c r="O95" i="22" s="1"/>
  <c r="O94" i="22" s="1"/>
  <c r="P97" i="22"/>
  <c r="P95" i="22" s="1"/>
  <c r="P94" i="22" s="1"/>
  <c r="R97" i="22"/>
  <c r="R95" i="22" s="1"/>
  <c r="R94" i="22" s="1"/>
  <c r="S97" i="22"/>
  <c r="S95" i="22" s="1"/>
  <c r="S94" i="22" s="1"/>
  <c r="T97" i="22"/>
  <c r="V97" i="22"/>
  <c r="V95" i="22" s="1"/>
  <c r="Z97" i="22"/>
  <c r="F98" i="22"/>
  <c r="G98" i="22"/>
  <c r="I98" i="22"/>
  <c r="M98" i="22"/>
  <c r="Q98" i="22"/>
  <c r="X98" i="22"/>
  <c r="U98" i="22" s="1"/>
  <c r="Y98" i="22"/>
  <c r="AB98" i="22"/>
  <c r="AH98" i="22"/>
  <c r="AI98" i="22"/>
  <c r="AM98" i="22"/>
  <c r="AQ98" i="22"/>
  <c r="F99" i="22"/>
  <c r="I99" i="22"/>
  <c r="M99" i="22"/>
  <c r="Q99" i="22"/>
  <c r="W99" i="22"/>
  <c r="W97" i="22" s="1"/>
  <c r="W95" i="22" s="1"/>
  <c r="W94" i="22" s="1"/>
  <c r="AG99" i="22"/>
  <c r="AK99" i="22"/>
  <c r="AL99" i="22"/>
  <c r="AL97" i="22" s="1"/>
  <c r="AM99" i="22"/>
  <c r="AN99" i="22"/>
  <c r="AO99" i="22"/>
  <c r="AO97" i="22" s="1"/>
  <c r="AP99" i="22"/>
  <c r="AP97" i="22" s="1"/>
  <c r="AQ99" i="22"/>
  <c r="AR99" i="22"/>
  <c r="AS99" i="22"/>
  <c r="AS97" i="22" s="1"/>
  <c r="AT99" i="22"/>
  <c r="AT97" i="22" s="1"/>
  <c r="AT95" i="22" s="1"/>
  <c r="AT94" i="22" s="1"/>
  <c r="F100" i="22"/>
  <c r="X100" i="22"/>
  <c r="U100" i="22" s="1"/>
  <c r="AA100" i="22"/>
  <c r="G100" i="22" s="1"/>
  <c r="AB100" i="22"/>
  <c r="AB99" i="22" s="1"/>
  <c r="AE100" i="22"/>
  <c r="AI100" i="22"/>
  <c r="AM100" i="22"/>
  <c r="AQ100" i="22"/>
  <c r="F101" i="22"/>
  <c r="G101" i="22"/>
  <c r="U101" i="22"/>
  <c r="Y101" i="22"/>
  <c r="AH101" i="22"/>
  <c r="H101" i="22" s="1"/>
  <c r="AI101" i="22"/>
  <c r="AM101" i="22"/>
  <c r="AQ101" i="22"/>
  <c r="F102" i="22"/>
  <c r="G102" i="22"/>
  <c r="I102" i="22"/>
  <c r="M102" i="22"/>
  <c r="Q102" i="22"/>
  <c r="U102" i="22"/>
  <c r="AB102" i="22"/>
  <c r="Y102" i="22" s="1"/>
  <c r="AE102" i="22"/>
  <c r="AI102" i="22"/>
  <c r="AM102" i="22"/>
  <c r="AQ102" i="22"/>
  <c r="F103" i="22"/>
  <c r="G103" i="22"/>
  <c r="I103" i="22"/>
  <c r="M103" i="22"/>
  <c r="Q103" i="22"/>
  <c r="X103" i="22"/>
  <c r="AB103" i="22"/>
  <c r="Y103" i="22" s="1"/>
  <c r="AE103" i="22"/>
  <c r="AI103" i="22"/>
  <c r="AM103" i="22"/>
  <c r="AQ103" i="22"/>
  <c r="F104" i="22"/>
  <c r="G104" i="22"/>
  <c r="I104" i="22"/>
  <c r="M104" i="22"/>
  <c r="Q104" i="22"/>
  <c r="U104" i="22"/>
  <c r="AB104" i="22"/>
  <c r="Y104" i="22" s="1"/>
  <c r="AE104" i="22"/>
  <c r="AI104" i="22"/>
  <c r="AM104" i="22"/>
  <c r="AQ104" i="22"/>
  <c r="F105" i="22"/>
  <c r="G105" i="22"/>
  <c r="I105" i="22"/>
  <c r="M105" i="22"/>
  <c r="Q105" i="22"/>
  <c r="X105" i="22"/>
  <c r="Y105" i="22"/>
  <c r="AH105" i="22"/>
  <c r="AE105" i="22" s="1"/>
  <c r="AI105" i="22"/>
  <c r="AM105" i="22"/>
  <c r="AQ105" i="22"/>
  <c r="F106" i="22"/>
  <c r="G106" i="22"/>
  <c r="AB106" i="22"/>
  <c r="AE106" i="22"/>
  <c r="AI106" i="22"/>
  <c r="AP106" i="22"/>
  <c r="AM106" i="22" s="1"/>
  <c r="AQ106" i="22"/>
  <c r="J107" i="22"/>
  <c r="L107" i="22"/>
  <c r="T107" i="22"/>
  <c r="AF107" i="22"/>
  <c r="AG107" i="22"/>
  <c r="AL107" i="22"/>
  <c r="AI107" i="22" s="1"/>
  <c r="AN107" i="22"/>
  <c r="AO107" i="22"/>
  <c r="AP107" i="22"/>
  <c r="AR107" i="22"/>
  <c r="AQ107" i="22" s="1"/>
  <c r="AS107" i="22"/>
  <c r="AT107" i="22"/>
  <c r="L108" i="22"/>
  <c r="N108" i="22"/>
  <c r="N107" i="22" s="1"/>
  <c r="O108" i="22"/>
  <c r="O107" i="22" s="1"/>
  <c r="P108" i="22"/>
  <c r="P107" i="22" s="1"/>
  <c r="R108" i="22"/>
  <c r="R107" i="22" s="1"/>
  <c r="S108" i="22"/>
  <c r="S107" i="22" s="1"/>
  <c r="V108" i="22"/>
  <c r="V107" i="22" s="1"/>
  <c r="W108" i="22"/>
  <c r="U108" i="22" s="1"/>
  <c r="X108" i="22"/>
  <c r="X107" i="22" s="1"/>
  <c r="Z108" i="22"/>
  <c r="Z107" i="22" s="1"/>
  <c r="AA108" i="22"/>
  <c r="AB108" i="22"/>
  <c r="AE108" i="22"/>
  <c r="AI108" i="22"/>
  <c r="AM108" i="22"/>
  <c r="AQ108" i="22"/>
  <c r="F109" i="22"/>
  <c r="H109" i="22"/>
  <c r="K109" i="22"/>
  <c r="G109" i="22" s="1"/>
  <c r="M109" i="22"/>
  <c r="Q109" i="22"/>
  <c r="U109" i="22"/>
  <c r="Y109" i="22"/>
  <c r="AE109" i="22"/>
  <c r="AI109" i="22"/>
  <c r="AM109" i="22"/>
  <c r="AQ109" i="22"/>
  <c r="F110" i="22"/>
  <c r="G110" i="22"/>
  <c r="H110" i="22"/>
  <c r="Q110" i="22"/>
  <c r="Y110" i="22"/>
  <c r="AE110" i="22"/>
  <c r="AI110" i="22"/>
  <c r="AM110" i="22"/>
  <c r="AQ110" i="22"/>
  <c r="F111" i="22"/>
  <c r="H111" i="22"/>
  <c r="K111" i="22"/>
  <c r="K114" i="22" s="1"/>
  <c r="G114" i="22" s="1"/>
  <c r="Q111" i="22"/>
  <c r="Y111" i="22"/>
  <c r="AE111" i="22"/>
  <c r="AI111" i="22"/>
  <c r="AM111" i="22"/>
  <c r="AQ111" i="22"/>
  <c r="F112" i="22"/>
  <c r="G112" i="22"/>
  <c r="H112" i="22"/>
  <c r="Q112" i="22"/>
  <c r="Y112" i="22"/>
  <c r="AE112" i="22"/>
  <c r="AI112" i="22"/>
  <c r="AM112" i="22"/>
  <c r="AQ112" i="22"/>
  <c r="F113" i="22"/>
  <c r="H113" i="22"/>
  <c r="Q113" i="22"/>
  <c r="Y113" i="22"/>
  <c r="AE113" i="22"/>
  <c r="AI113" i="22"/>
  <c r="AM113" i="22"/>
  <c r="AQ113" i="22"/>
  <c r="F114" i="22"/>
  <c r="H114" i="22"/>
  <c r="Q114" i="22"/>
  <c r="Y114" i="22"/>
  <c r="AE114" i="22"/>
  <c r="AI114" i="22"/>
  <c r="AM114" i="22"/>
  <c r="AQ114" i="22"/>
  <c r="F115" i="22"/>
  <c r="H115" i="22"/>
  <c r="Q115" i="22"/>
  <c r="Y115" i="22"/>
  <c r="AE115" i="22"/>
  <c r="AI115" i="22"/>
  <c r="AM115" i="22"/>
  <c r="AQ115" i="22"/>
  <c r="F116" i="22"/>
  <c r="G116" i="22"/>
  <c r="Q116" i="22"/>
  <c r="AB116" i="22"/>
  <c r="H116" i="22" s="1"/>
  <c r="AH116" i="22"/>
  <c r="AE116" i="22" s="1"/>
  <c r="AI116" i="22"/>
  <c r="AM116" i="22"/>
  <c r="AQ116" i="22"/>
  <c r="K108" i="22" l="1"/>
  <c r="K113" i="22"/>
  <c r="G113" i="22" s="1"/>
  <c r="G111" i="22"/>
  <c r="E111" i="22" s="1"/>
  <c r="I109" i="22"/>
  <c r="AP95" i="22"/>
  <c r="AP94" i="22" s="1"/>
  <c r="H80" i="22"/>
  <c r="Y91" i="22"/>
  <c r="Y90" i="22" s="1"/>
  <c r="E87" i="22"/>
  <c r="AE86" i="22"/>
  <c r="E78" i="22"/>
  <c r="E77" i="22"/>
  <c r="E88" i="22"/>
  <c r="F108" i="22"/>
  <c r="AA99" i="22"/>
  <c r="F91" i="22"/>
  <c r="M74" i="22"/>
  <c r="H96" i="22"/>
  <c r="AM107" i="22"/>
  <c r="H105" i="22"/>
  <c r="H104" i="22"/>
  <c r="E104" i="22" s="1"/>
  <c r="H102" i="22"/>
  <c r="E102" i="22" s="1"/>
  <c r="AH99" i="22"/>
  <c r="AE99" i="22" s="1"/>
  <c r="X99" i="22"/>
  <c r="AQ96" i="22"/>
  <c r="Y89" i="22"/>
  <c r="M91" i="22"/>
  <c r="M90" i="22" s="1"/>
  <c r="AQ89" i="22"/>
  <c r="I86" i="22"/>
  <c r="G75" i="22"/>
  <c r="AE75" i="22"/>
  <c r="AQ74" i="22"/>
  <c r="AH74" i="22"/>
  <c r="AE74" i="22" s="1"/>
  <c r="AB107" i="22"/>
  <c r="G91" i="22"/>
  <c r="F86" i="22"/>
  <c r="X75" i="22"/>
  <c r="X74" i="22" s="1"/>
  <c r="U74" i="22" s="1"/>
  <c r="Y116" i="22"/>
  <c r="Y108" i="22"/>
  <c r="Y88" i="22"/>
  <c r="Q86" i="22"/>
  <c r="U80" i="22"/>
  <c r="AE76" i="22"/>
  <c r="E113" i="22"/>
  <c r="E112" i="22"/>
  <c r="E110" i="22"/>
  <c r="AH107" i="22"/>
  <c r="H106" i="22"/>
  <c r="E106" i="22" s="1"/>
  <c r="AE101" i="22"/>
  <c r="E101" i="22"/>
  <c r="AQ97" i="22"/>
  <c r="AE98" i="22"/>
  <c r="Y93" i="22"/>
  <c r="I91" i="22"/>
  <c r="I90" i="22" s="1"/>
  <c r="AB86" i="22"/>
  <c r="AB85" i="22" s="1"/>
  <c r="H85" i="22" s="1"/>
  <c r="J85" i="22"/>
  <c r="I85" i="22" s="1"/>
  <c r="AM74" i="22"/>
  <c r="AL89" i="22"/>
  <c r="AI89" i="22" s="1"/>
  <c r="AL95" i="22"/>
  <c r="AL94" i="22" s="1"/>
  <c r="T95" i="22"/>
  <c r="T94" i="22" s="1"/>
  <c r="Q94" i="22" s="1"/>
  <c r="I97" i="22"/>
  <c r="F97" i="22"/>
  <c r="J95" i="22"/>
  <c r="AN94" i="22"/>
  <c r="AM89" i="22"/>
  <c r="K115" i="22"/>
  <c r="G115" i="22" s="1"/>
  <c r="E115" i="22" s="1"/>
  <c r="E109" i="22"/>
  <c r="M107" i="22"/>
  <c r="F107" i="22"/>
  <c r="E105" i="22"/>
  <c r="AB97" i="22"/>
  <c r="Z95" i="22"/>
  <c r="Q89" i="22"/>
  <c r="U85" i="22"/>
  <c r="Q74" i="22"/>
  <c r="E116" i="22"/>
  <c r="E114" i="22"/>
  <c r="Q107" i="22"/>
  <c r="H108" i="22"/>
  <c r="AE107" i="22"/>
  <c r="Y96" i="22"/>
  <c r="E96" i="22" s="1"/>
  <c r="AS95" i="22"/>
  <c r="AS94" i="22" s="1"/>
  <c r="G74" i="22"/>
  <c r="I74" i="22"/>
  <c r="G108" i="22"/>
  <c r="E108" i="22" s="1"/>
  <c r="K107" i="22"/>
  <c r="I108" i="22"/>
  <c r="AO95" i="22"/>
  <c r="AO94" i="22" s="1"/>
  <c r="AM97" i="22"/>
  <c r="Y74" i="22"/>
  <c r="F75" i="22"/>
  <c r="AA107" i="22"/>
  <c r="Y107" i="22" s="1"/>
  <c r="W107" i="22"/>
  <c r="U107" i="22" s="1"/>
  <c r="AG97" i="22"/>
  <c r="X97" i="22"/>
  <c r="X95" i="22" s="1"/>
  <c r="X94" i="22" s="1"/>
  <c r="M97" i="22"/>
  <c r="G96" i="22"/>
  <c r="AQ95" i="22"/>
  <c r="X91" i="22"/>
  <c r="X90" i="22" s="1"/>
  <c r="X89" i="22" s="1"/>
  <c r="H93" i="22"/>
  <c r="E93" i="22" s="1"/>
  <c r="U93" i="22"/>
  <c r="K90" i="22"/>
  <c r="G86" i="22"/>
  <c r="AG85" i="22"/>
  <c r="AE85" i="22" s="1"/>
  <c r="O85" i="22"/>
  <c r="M85" i="22" s="1"/>
  <c r="H82" i="22"/>
  <c r="E82" i="22" s="1"/>
  <c r="U82" i="22"/>
  <c r="AB75" i="22"/>
  <c r="AB74" i="22" s="1"/>
  <c r="H76" i="22"/>
  <c r="E76" i="22" s="1"/>
  <c r="F74" i="22"/>
  <c r="Q108" i="22"/>
  <c r="M108" i="22"/>
  <c r="Y106" i="22"/>
  <c r="U105" i="22"/>
  <c r="H103" i="22"/>
  <c r="E103" i="22" s="1"/>
  <c r="U103" i="22"/>
  <c r="H100" i="22"/>
  <c r="E100" i="22" s="1"/>
  <c r="H98" i="22"/>
  <c r="E98" i="22" s="1"/>
  <c r="Q97" i="22"/>
  <c r="N95" i="22"/>
  <c r="V94" i="22"/>
  <c r="K94" i="22"/>
  <c r="F90" i="22"/>
  <c r="AQ90" i="22"/>
  <c r="AM90" i="22"/>
  <c r="O90" i="22"/>
  <c r="O89" i="22" s="1"/>
  <c r="M89" i="22" s="1"/>
  <c r="J89" i="22"/>
  <c r="Y87" i="22"/>
  <c r="S85" i="22"/>
  <c r="Q85" i="22" s="1"/>
  <c r="U81" i="22"/>
  <c r="AI76" i="22"/>
  <c r="Y76" i="22"/>
  <c r="Q75" i="22"/>
  <c r="M75" i="22"/>
  <c r="I75" i="22"/>
  <c r="H86" i="22"/>
  <c r="Y100" i="22"/>
  <c r="AK97" i="22"/>
  <c r="AI99" i="22"/>
  <c r="U99" i="22"/>
  <c r="U97" i="22"/>
  <c r="AR94" i="22"/>
  <c r="AH91" i="22"/>
  <c r="AH90" i="22" s="1"/>
  <c r="AH89" i="22" s="1"/>
  <c r="AE89" i="22" s="1"/>
  <c r="AE92" i="22"/>
  <c r="Q91" i="22"/>
  <c r="Q90" i="22" s="1"/>
  <c r="U86" i="22"/>
  <c r="E80" i="22"/>
  <c r="Y75" i="22"/>
  <c r="AQ94" i="22" l="1"/>
  <c r="H107" i="22"/>
  <c r="AA97" i="22"/>
  <c r="AA95" i="22" s="1"/>
  <c r="AA94" i="22" s="1"/>
  <c r="Y99" i="22"/>
  <c r="U75" i="22"/>
  <c r="H99" i="22"/>
  <c r="AH97" i="22"/>
  <c r="AH95" i="22" s="1"/>
  <c r="AH94" i="22" s="1"/>
  <c r="H74" i="22"/>
  <c r="F85" i="22"/>
  <c r="AB95" i="22"/>
  <c r="AB94" i="22" s="1"/>
  <c r="H94" i="22" s="1"/>
  <c r="Y86" i="22"/>
  <c r="Y85" i="22"/>
  <c r="H75" i="22"/>
  <c r="E86" i="22"/>
  <c r="H89" i="22"/>
  <c r="AM94" i="22"/>
  <c r="G99" i="22"/>
  <c r="U95" i="22"/>
  <c r="U94" i="22"/>
  <c r="H90" i="22"/>
  <c r="G90" i="22"/>
  <c r="K89" i="22"/>
  <c r="G89" i="22" s="1"/>
  <c r="I107" i="22"/>
  <c r="G107" i="22"/>
  <c r="G85" i="22"/>
  <c r="AE90" i="22"/>
  <c r="M95" i="22"/>
  <c r="N94" i="22"/>
  <c r="M94" i="22" s="1"/>
  <c r="AE91" i="22"/>
  <c r="Z94" i="22"/>
  <c r="U89" i="22"/>
  <c r="Q95" i="22"/>
  <c r="F89" i="22"/>
  <c r="H91" i="22"/>
  <c r="E91" i="22" s="1"/>
  <c r="U91" i="22"/>
  <c r="U90" i="22" s="1"/>
  <c r="AM95" i="22"/>
  <c r="AI97" i="22"/>
  <c r="AK95" i="22"/>
  <c r="E74" i="22"/>
  <c r="AG95" i="22"/>
  <c r="E75" i="22"/>
  <c r="I95" i="22"/>
  <c r="J94" i="22"/>
  <c r="F95" i="22"/>
  <c r="E107" i="22" l="1"/>
  <c r="E99" i="22"/>
  <c r="E85" i="22"/>
  <c r="G97" i="22"/>
  <c r="Y97" i="22"/>
  <c r="AE97" i="22"/>
  <c r="E97" i="22" s="1"/>
  <c r="H97" i="22"/>
  <c r="E89" i="22"/>
  <c r="Y94" i="22"/>
  <c r="E90" i="22"/>
  <c r="H95" i="22"/>
  <c r="Y95" i="22"/>
  <c r="I94" i="22"/>
  <c r="F94" i="22"/>
  <c r="AG94" i="22"/>
  <c r="AE95" i="22"/>
  <c r="G95" i="22"/>
  <c r="AK94" i="22"/>
  <c r="AI94" i="22" s="1"/>
  <c r="AI95" i="22"/>
  <c r="I89" i="22"/>
  <c r="E95" i="22" l="1"/>
  <c r="AE94" i="22"/>
  <c r="G94" i="22"/>
  <c r="E94" i="22" s="1"/>
  <c r="AK156" i="27" l="1"/>
  <c r="AK250" i="27"/>
  <c r="AK65" i="27"/>
  <c r="AK64" i="27"/>
  <c r="K5" i="41" l="1"/>
  <c r="AG22" i="37"/>
  <c r="AJ14" i="37"/>
  <c r="AJ12" i="37"/>
  <c r="AJ251" i="27" l="1"/>
  <c r="AK226" i="27"/>
  <c r="E153" i="27"/>
  <c r="E154" i="27"/>
  <c r="F153" i="27"/>
  <c r="F154" i="27"/>
  <c r="G154" i="27"/>
  <c r="AK66" i="27"/>
  <c r="AH154" i="27"/>
  <c r="AH26" i="27"/>
  <c r="AI8" i="27"/>
  <c r="AJ8" i="27"/>
  <c r="AK8" i="27"/>
  <c r="G26" i="27"/>
  <c r="D26" i="27" s="1"/>
  <c r="AS33" i="22"/>
  <c r="AO33" i="22"/>
  <c r="AH8" i="27" l="1"/>
  <c r="D154" i="27"/>
  <c r="AG36" i="22" l="1"/>
  <c r="AG33" i="22"/>
  <c r="E263" i="27" l="1"/>
  <c r="F263" i="27"/>
  <c r="E264" i="27"/>
  <c r="F264" i="27"/>
  <c r="G263" i="27"/>
  <c r="F266" i="27"/>
  <c r="E265" i="27"/>
  <c r="F265" i="27"/>
  <c r="F262" i="27"/>
  <c r="D263" i="27" l="1"/>
  <c r="G7" i="41"/>
  <c r="AL55" i="22" l="1"/>
  <c r="AL53" i="22" s="1"/>
  <c r="AK18" i="22" l="1"/>
  <c r="AK14" i="22"/>
  <c r="H61" i="22" l="1"/>
  <c r="E61" i="22" s="1"/>
  <c r="AI60" i="22"/>
  <c r="AI61" i="22"/>
  <c r="AH208" i="27" l="1"/>
  <c r="AH209" i="27"/>
  <c r="AH210" i="27"/>
  <c r="AH211" i="27"/>
  <c r="AH212" i="27"/>
  <c r="AH214" i="27"/>
  <c r="AH215" i="27"/>
  <c r="AH216" i="27"/>
  <c r="AH217" i="27"/>
  <c r="AH218" i="27"/>
  <c r="AH164" i="27" s="1"/>
  <c r="AH219" i="27"/>
  <c r="AH220" i="27"/>
  <c r="AH221" i="27"/>
  <c r="AP33" i="22" l="1"/>
  <c r="AP31" i="22" s="1"/>
  <c r="F73" i="22"/>
  <c r="G73" i="22"/>
  <c r="H73" i="22"/>
  <c r="AM72" i="22"/>
  <c r="AM73" i="22"/>
  <c r="AI73" i="22"/>
  <c r="E73" i="22" l="1"/>
  <c r="AH250" i="27" l="1"/>
  <c r="AI29" i="27"/>
  <c r="AJ29" i="27"/>
  <c r="AH65" i="27"/>
  <c r="AH64" i="27"/>
  <c r="AH63" i="27"/>
  <c r="AH62" i="27"/>
  <c r="AH60" i="27"/>
  <c r="AH59" i="27"/>
  <c r="AH58" i="27"/>
  <c r="AH57" i="27"/>
  <c r="AH56" i="27"/>
  <c r="AH55" i="27"/>
  <c r="AH54" i="27"/>
  <c r="AH53" i="27"/>
  <c r="AH52" i="27"/>
  <c r="AH51" i="27"/>
  <c r="AH50" i="27"/>
  <c r="AH49" i="27"/>
  <c r="AH48" i="27"/>
  <c r="AH47" i="27"/>
  <c r="AH46" i="27"/>
  <c r="AH45" i="27"/>
  <c r="AH44" i="27"/>
  <c r="AH43" i="27"/>
  <c r="AH42" i="27"/>
  <c r="AH41" i="27"/>
  <c r="AH40" i="27"/>
  <c r="AH39" i="27"/>
  <c r="AH38" i="27"/>
  <c r="AH37" i="27"/>
  <c r="AH36" i="27"/>
  <c r="AH35" i="27"/>
  <c r="AH34" i="27"/>
  <c r="AH33" i="27"/>
  <c r="AH32" i="27"/>
  <c r="AH31" i="27"/>
  <c r="AH30" i="27"/>
  <c r="AH156" i="27"/>
  <c r="AC25" i="27"/>
  <c r="AH24" i="27"/>
  <c r="AH25" i="27"/>
  <c r="AH22" i="27"/>
  <c r="AH23" i="27"/>
  <c r="AF19" i="27" l="1"/>
  <c r="AC19" i="27" s="1"/>
  <c r="AI72" i="22" l="1"/>
  <c r="F72" i="22"/>
  <c r="G72" i="22"/>
  <c r="H72" i="22"/>
  <c r="E72" i="22" l="1"/>
  <c r="AH18" i="22" l="1"/>
  <c r="AH14" i="22" l="1"/>
  <c r="AH22" i="22"/>
  <c r="AF19" i="37" l="1"/>
  <c r="AF18" i="37"/>
  <c r="AF14" i="37"/>
  <c r="AF10" i="37" l="1"/>
  <c r="AF9" i="37"/>
  <c r="AF252" i="27"/>
  <c r="AG18" i="22"/>
  <c r="AZ17" i="22" l="1"/>
  <c r="AY17" i="22"/>
  <c r="AX17" i="22"/>
  <c r="AW17" i="22"/>
  <c r="AZ16" i="22"/>
  <c r="AY16" i="22"/>
  <c r="AZ15" i="22"/>
  <c r="AY15" i="22"/>
  <c r="AX16" i="22"/>
  <c r="AW16" i="22"/>
  <c r="AX15" i="22"/>
  <c r="AW15" i="22"/>
  <c r="AV17" i="22"/>
  <c r="AU17" i="22"/>
  <c r="AV16" i="22"/>
  <c r="AU16" i="22"/>
  <c r="AV15" i="22"/>
  <c r="AV18" i="22" s="1"/>
  <c r="AU15" i="22"/>
  <c r="AY18" i="22" l="1"/>
  <c r="AW18" i="22"/>
  <c r="AX18" i="22"/>
  <c r="AU18" i="22"/>
  <c r="AZ18" i="22"/>
  <c r="AM25" i="22"/>
  <c r="AG66" i="22" l="1"/>
  <c r="AE66" i="22" l="1"/>
  <c r="AF31" i="39" l="1"/>
  <c r="AF8" i="39"/>
  <c r="AF22" i="37"/>
  <c r="AE24" i="27"/>
  <c r="AF23" i="27"/>
  <c r="AF232" i="27"/>
  <c r="AF162" i="27"/>
  <c r="AF156" i="27"/>
  <c r="AF85" i="27"/>
  <c r="AC92" i="27"/>
  <c r="G25" i="27"/>
  <c r="D25" i="27" s="1"/>
  <c r="AM8" i="27"/>
  <c r="AN8" i="27"/>
  <c r="AO8" i="27"/>
  <c r="AL8" i="27" l="1"/>
  <c r="AH64" i="22"/>
  <c r="AG64" i="22"/>
  <c r="AF10" i="44"/>
  <c r="AG37" i="22" l="1"/>
  <c r="AG22" i="22"/>
  <c r="AG14" i="22"/>
  <c r="AE261" i="27" l="1"/>
  <c r="AE251" i="27"/>
  <c r="AF57" i="27"/>
  <c r="AF11" i="37"/>
  <c r="AE9" i="38" l="1"/>
  <c r="AE14" i="38"/>
  <c r="AF11" i="44" l="1"/>
  <c r="AQ33" i="22" l="1"/>
  <c r="AM33" i="22"/>
  <c r="AS31" i="22"/>
  <c r="J4" i="41"/>
  <c r="K44" i="41" l="1"/>
  <c r="K47" i="41" s="1"/>
  <c r="K43" i="41"/>
  <c r="G9" i="27" l="1"/>
  <c r="G10" i="27"/>
  <c r="G11" i="27"/>
  <c r="G12" i="27"/>
  <c r="G13" i="27"/>
  <c r="G14" i="27"/>
  <c r="G15" i="27"/>
  <c r="G16" i="27"/>
  <c r="G17" i="27"/>
  <c r="G21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7" i="27"/>
  <c r="G58" i="27"/>
  <c r="G60" i="27"/>
  <c r="G68" i="27"/>
  <c r="G70" i="27"/>
  <c r="G71" i="27"/>
  <c r="G73" i="27"/>
  <c r="G74" i="27"/>
  <c r="G75" i="27"/>
  <c r="G76" i="27"/>
  <c r="G77" i="27"/>
  <c r="G78" i="27"/>
  <c r="G80" i="27"/>
  <c r="G81" i="27"/>
  <c r="G82" i="27"/>
  <c r="G84" i="27"/>
  <c r="G86" i="27"/>
  <c r="G87" i="27"/>
  <c r="G88" i="27"/>
  <c r="G89" i="27"/>
  <c r="G91" i="27"/>
  <c r="G93" i="27"/>
  <c r="G94" i="27"/>
  <c r="G95" i="27"/>
  <c r="G96" i="27"/>
  <c r="G97" i="27"/>
  <c r="G99" i="27"/>
  <c r="G100" i="27"/>
  <c r="G101" i="27"/>
  <c r="G102" i="27"/>
  <c r="G103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4" i="27"/>
  <c r="G125" i="27"/>
  <c r="G126" i="27"/>
  <c r="G127" i="27"/>
  <c r="G129" i="27"/>
  <c r="G130" i="27"/>
  <c r="G131" i="27"/>
  <c r="G132" i="27"/>
  <c r="G133" i="27"/>
  <c r="G134" i="27"/>
  <c r="G135" i="27"/>
  <c r="G136" i="27"/>
  <c r="G137" i="27"/>
  <c r="G140" i="27"/>
  <c r="G142" i="27"/>
  <c r="G144" i="27"/>
  <c r="G145" i="27"/>
  <c r="G149" i="27"/>
  <c r="G157" i="27"/>
  <c r="G158" i="27"/>
  <c r="G159" i="27"/>
  <c r="G160" i="27"/>
  <c r="G162" i="27"/>
  <c r="G165" i="27"/>
  <c r="G166" i="27"/>
  <c r="G167" i="27"/>
  <c r="G168" i="27"/>
  <c r="G169" i="27"/>
  <c r="G170" i="27"/>
  <c r="G171" i="27"/>
  <c r="G173" i="27"/>
  <c r="G175" i="27"/>
  <c r="G176" i="27"/>
  <c r="G177" i="27"/>
  <c r="G179" i="27"/>
  <c r="G180" i="27"/>
  <c r="G181" i="27"/>
  <c r="G182" i="27"/>
  <c r="G183" i="27"/>
  <c r="G184" i="27"/>
  <c r="G185" i="27"/>
  <c r="G186" i="27"/>
  <c r="G187" i="27"/>
  <c r="G188" i="27"/>
  <c r="G190" i="27"/>
  <c r="G191" i="27"/>
  <c r="G192" i="27"/>
  <c r="G193" i="27"/>
  <c r="G194" i="27"/>
  <c r="G195" i="27"/>
  <c r="G196" i="27"/>
  <c r="G197" i="27"/>
  <c r="G198" i="27"/>
  <c r="G199" i="27"/>
  <c r="G200" i="27"/>
  <c r="G202" i="27"/>
  <c r="G203" i="27"/>
  <c r="G204" i="27"/>
  <c r="G207" i="27"/>
  <c r="D207" i="27" s="1"/>
  <c r="G227" i="27"/>
  <c r="G234" i="27"/>
  <c r="G235" i="27"/>
  <c r="G240" i="27"/>
  <c r="G241" i="27"/>
  <c r="G242" i="27"/>
  <c r="G243" i="27"/>
  <c r="G244" i="27"/>
  <c r="G245" i="27"/>
  <c r="G246" i="27"/>
  <c r="G247" i="27"/>
  <c r="G248" i="27"/>
  <c r="G249" i="27"/>
  <c r="G251" i="27"/>
  <c r="G253" i="27"/>
  <c r="G257" i="27"/>
  <c r="G256" i="27" s="1"/>
  <c r="G255" i="27" s="1"/>
  <c r="G258" i="27"/>
  <c r="G260" i="27"/>
  <c r="G261" i="27"/>
  <c r="L12" i="41"/>
  <c r="L14" i="41"/>
  <c r="AL266" i="27"/>
  <c r="AH207" i="27"/>
  <c r="AH202" i="27"/>
  <c r="AH203" i="27"/>
  <c r="AH204" i="27"/>
  <c r="AH205" i="27"/>
  <c r="AH206" i="27"/>
  <c r="AH224" i="27"/>
  <c r="AH225" i="27"/>
  <c r="K30" i="41"/>
  <c r="K42" i="41" s="1"/>
  <c r="J30" i="41"/>
  <c r="AM66" i="22"/>
  <c r="AQ66" i="22"/>
  <c r="AI66" i="22"/>
  <c r="AR10" i="37" l="1"/>
  <c r="AR9" i="37"/>
  <c r="AN9" i="37"/>
  <c r="AJ9" i="37"/>
  <c r="AR9" i="44" l="1"/>
  <c r="AR8" i="44" s="1"/>
  <c r="AH9" i="44"/>
  <c r="AH8" i="44" s="1"/>
  <c r="AI9" i="44"/>
  <c r="AI8" i="44" s="1"/>
  <c r="AJ9" i="44"/>
  <c r="AJ8" i="44" s="1"/>
  <c r="AG12" i="44"/>
  <c r="F11" i="44"/>
  <c r="G11" i="44"/>
  <c r="F12" i="44"/>
  <c r="G12" i="44"/>
  <c r="H12" i="44"/>
  <c r="AG23" i="37"/>
  <c r="AK9" i="37"/>
  <c r="AQ254" i="27"/>
  <c r="AR254" i="27"/>
  <c r="AS255" i="27"/>
  <c r="AP255" i="27" s="1"/>
  <c r="AI255" i="27"/>
  <c r="AJ255" i="27"/>
  <c r="AJ254" i="27" s="1"/>
  <c r="AP263" i="27"/>
  <c r="AP264" i="27"/>
  <c r="AK264" i="27"/>
  <c r="AH262" i="27"/>
  <c r="AH263" i="27"/>
  <c r="AH172" i="27"/>
  <c r="AH264" i="27" l="1"/>
  <c r="G264" i="27"/>
  <c r="D264" i="27" s="1"/>
  <c r="AI254" i="27"/>
  <c r="AS254" i="27"/>
  <c r="E12" i="44"/>
  <c r="AJ7" i="44"/>
  <c r="AL48" i="22"/>
  <c r="AQ52" i="22"/>
  <c r="AM52" i="22"/>
  <c r="AI51" i="22"/>
  <c r="AI52" i="22"/>
  <c r="AQ68" i="22"/>
  <c r="AQ69" i="22"/>
  <c r="AM68" i="22"/>
  <c r="AM69" i="22"/>
  <c r="AI68" i="22"/>
  <c r="AI69" i="22"/>
  <c r="H69" i="22"/>
  <c r="G69" i="22"/>
  <c r="F69" i="22"/>
  <c r="BQ10" i="22"/>
  <c r="BR10" i="22"/>
  <c r="BS10" i="22"/>
  <c r="AP13" i="22"/>
  <c r="AI40" i="22"/>
  <c r="BN10" i="22"/>
  <c r="BO10" i="22"/>
  <c r="BM10" i="22"/>
  <c r="BJ10" i="22"/>
  <c r="BK10" i="22"/>
  <c r="BI10" i="22"/>
  <c r="BF10" i="22"/>
  <c r="BG10" i="22"/>
  <c r="BE10" i="22"/>
  <c r="E69" i="22" l="1"/>
  <c r="AZ10" i="22" l="1"/>
  <c r="BA10" i="22"/>
  <c r="BB10" i="22"/>
  <c r="AX10" i="22" l="1"/>
  <c r="AY10" i="22"/>
  <c r="AW10" i="22"/>
  <c r="H23" i="37" l="1"/>
  <c r="E23" i="37" s="1"/>
  <c r="E52" i="22"/>
  <c r="H52" i="22"/>
  <c r="F68" i="22" l="1"/>
  <c r="G68" i="22"/>
  <c r="G67" i="22"/>
  <c r="H68" i="22"/>
  <c r="F67" i="22"/>
  <c r="H67" i="22"/>
  <c r="H65" i="22"/>
  <c r="F64" i="22"/>
  <c r="F63" i="22"/>
  <c r="G63" i="22"/>
  <c r="F60" i="22"/>
  <c r="G60" i="22"/>
  <c r="F59" i="22"/>
  <c r="G59" i="22"/>
  <c r="F58" i="22"/>
  <c r="G58" i="22"/>
  <c r="H59" i="22"/>
  <c r="H63" i="22"/>
  <c r="F57" i="22"/>
  <c r="G57" i="22"/>
  <c r="F56" i="22"/>
  <c r="G56" i="22"/>
  <c r="H56" i="22"/>
  <c r="H57" i="22"/>
  <c r="H58" i="22"/>
  <c r="F54" i="22"/>
  <c r="G54" i="22"/>
  <c r="H54" i="22"/>
  <c r="F50" i="22"/>
  <c r="G50" i="22"/>
  <c r="F49" i="22"/>
  <c r="G49" i="22"/>
  <c r="H50" i="22"/>
  <c r="H51" i="22"/>
  <c r="F47" i="22"/>
  <c r="G47" i="22"/>
  <c r="F46" i="22"/>
  <c r="G46" i="22"/>
  <c r="F45" i="22"/>
  <c r="G45" i="22"/>
  <c r="F44" i="22"/>
  <c r="G44" i="22"/>
  <c r="H45" i="22"/>
  <c r="H46" i="22"/>
  <c r="H47" i="22"/>
  <c r="F40" i="22"/>
  <c r="G40" i="22"/>
  <c r="F39" i="22"/>
  <c r="G39" i="22"/>
  <c r="F38" i="22"/>
  <c r="G38" i="22"/>
  <c r="F37" i="22"/>
  <c r="G37" i="22"/>
  <c r="F36" i="22"/>
  <c r="G36" i="22"/>
  <c r="F34" i="22"/>
  <c r="G34" i="22"/>
  <c r="F33" i="22"/>
  <c r="H32" i="22"/>
  <c r="H34" i="22"/>
  <c r="H35" i="22"/>
  <c r="H36" i="22"/>
  <c r="H37" i="22"/>
  <c r="H38" i="22"/>
  <c r="H39" i="22"/>
  <c r="F30" i="22"/>
  <c r="G30" i="22"/>
  <c r="F29" i="22"/>
  <c r="G29" i="22"/>
  <c r="H30" i="22"/>
  <c r="H29" i="22"/>
  <c r="F28" i="22"/>
  <c r="G28" i="22"/>
  <c r="H28" i="22"/>
  <c r="H26" i="22"/>
  <c r="F25" i="22"/>
  <c r="G25" i="22"/>
  <c r="F24" i="22"/>
  <c r="G24" i="22"/>
  <c r="F23" i="22"/>
  <c r="G23" i="22"/>
  <c r="H24" i="22"/>
  <c r="H25" i="22"/>
  <c r="H23" i="22"/>
  <c r="F21" i="22"/>
  <c r="G21" i="22"/>
  <c r="F20" i="22"/>
  <c r="G20" i="22"/>
  <c r="F19" i="22"/>
  <c r="G19" i="22"/>
  <c r="H20" i="22"/>
  <c r="H21" i="22"/>
  <c r="H19" i="22"/>
  <c r="F17" i="22"/>
  <c r="G17" i="22"/>
  <c r="F16" i="22"/>
  <c r="G16" i="22"/>
  <c r="F15" i="22"/>
  <c r="G15" i="22"/>
  <c r="H16" i="22"/>
  <c r="H17" i="22"/>
  <c r="H15" i="22"/>
  <c r="AQ67" i="22"/>
  <c r="AQ65" i="22"/>
  <c r="AQ64" i="22"/>
  <c r="AQ63" i="22"/>
  <c r="AQ60" i="22"/>
  <c r="AQ59" i="22"/>
  <c r="AQ58" i="22"/>
  <c r="AQ57" i="22"/>
  <c r="AQ56" i="22"/>
  <c r="AT55" i="22"/>
  <c r="AT53" i="22" s="1"/>
  <c r="AT42" i="22" s="1"/>
  <c r="AT41" i="22" s="1"/>
  <c r="AS55" i="22"/>
  <c r="AS53" i="22" s="1"/>
  <c r="AR55" i="22"/>
  <c r="AR53" i="22" s="1"/>
  <c r="AQ54" i="22"/>
  <c r="AQ51" i="22"/>
  <c r="AQ50" i="22"/>
  <c r="AQ49" i="22"/>
  <c r="AT48" i="22"/>
  <c r="AS48" i="22"/>
  <c r="AR48" i="22"/>
  <c r="AQ47" i="22"/>
  <c r="AQ46" i="22"/>
  <c r="AQ45" i="22"/>
  <c r="AQ44" i="22"/>
  <c r="AT43" i="22"/>
  <c r="AS43" i="22"/>
  <c r="AR43" i="22"/>
  <c r="AQ40" i="22"/>
  <c r="AQ39" i="22"/>
  <c r="AQ38" i="22"/>
  <c r="AQ37" i="22"/>
  <c r="AQ36" i="22"/>
  <c r="AR31" i="22"/>
  <c r="AQ31" i="22" s="1"/>
  <c r="AT27" i="22"/>
  <c r="AS27" i="22"/>
  <c r="AS13" i="22" s="1"/>
  <c r="AR27" i="22"/>
  <c r="AQ26" i="22"/>
  <c r="AQ25" i="22"/>
  <c r="AQ24" i="22"/>
  <c r="AQ23" i="22"/>
  <c r="AQ22" i="22"/>
  <c r="AQ21" i="22"/>
  <c r="AQ20" i="22"/>
  <c r="AQ19" i="22"/>
  <c r="AQ18" i="22"/>
  <c r="AQ17" i="22"/>
  <c r="AQ16" i="22"/>
  <c r="AQ15" i="22"/>
  <c r="AQ14" i="22"/>
  <c r="AT13" i="22"/>
  <c r="AT12" i="22" l="1"/>
  <c r="AT11" i="22" s="1"/>
  <c r="AV12" i="22"/>
  <c r="AR13" i="22"/>
  <c r="AR12" i="22" s="1"/>
  <c r="E68" i="22"/>
  <c r="AQ43" i="22"/>
  <c r="AS42" i="22"/>
  <c r="AS41" i="22" s="1"/>
  <c r="E67" i="22"/>
  <c r="AQ55" i="22"/>
  <c r="AQ48" i="22"/>
  <c r="E16" i="22"/>
  <c r="E17" i="22"/>
  <c r="AS12" i="22"/>
  <c r="AQ27" i="22"/>
  <c r="G267" i="27"/>
  <c r="D204" i="27"/>
  <c r="D227" i="27"/>
  <c r="D144" i="27"/>
  <c r="D60" i="27"/>
  <c r="E24" i="27"/>
  <c r="D21" i="27"/>
  <c r="AR42" i="22" l="1"/>
  <c r="AR41" i="22" s="1"/>
  <c r="AR11" i="22" s="1"/>
  <c r="AQ53" i="22"/>
  <c r="AQ13" i="22"/>
  <c r="AQ42" i="22"/>
  <c r="AS11" i="22"/>
  <c r="AQ12" i="22"/>
  <c r="AP267" i="27"/>
  <c r="AP266" i="27"/>
  <c r="AP265" i="27"/>
  <c r="AP262" i="27"/>
  <c r="AP261" i="27"/>
  <c r="AP260" i="27"/>
  <c r="AP256" i="27"/>
  <c r="AP252" i="27"/>
  <c r="AP251" i="27"/>
  <c r="AS239" i="27"/>
  <c r="AS238" i="27" s="1"/>
  <c r="AR239" i="27"/>
  <c r="AR238" i="27" s="1"/>
  <c r="AQ239" i="27"/>
  <c r="AQ238" i="27" s="1"/>
  <c r="AS233" i="27"/>
  <c r="AR233" i="27"/>
  <c r="AQ233" i="27"/>
  <c r="AS231" i="27"/>
  <c r="AR231" i="27"/>
  <c r="AQ231" i="27"/>
  <c r="AP231" i="27"/>
  <c r="AP226" i="27"/>
  <c r="AS164" i="27"/>
  <c r="AR164" i="27"/>
  <c r="AQ164" i="27"/>
  <c r="AS155" i="27"/>
  <c r="AR155" i="27"/>
  <c r="AQ155" i="27"/>
  <c r="AP98" i="27"/>
  <c r="AP97" i="27"/>
  <c r="AP96" i="27"/>
  <c r="AP95" i="27"/>
  <c r="AP94" i="27"/>
  <c r="AP93" i="27"/>
  <c r="AP92" i="27"/>
  <c r="AS66" i="27"/>
  <c r="AP66" i="27" s="1"/>
  <c r="AS29" i="27"/>
  <c r="AR29" i="27"/>
  <c r="AQ29" i="27"/>
  <c r="AS8" i="27"/>
  <c r="AR8" i="27"/>
  <c r="AR7" i="27" s="1"/>
  <c r="AQ8" i="27"/>
  <c r="AQ7" i="27" s="1"/>
  <c r="AP8" i="27"/>
  <c r="AS7" i="27"/>
  <c r="F22" i="37"/>
  <c r="G22" i="37"/>
  <c r="F21" i="37"/>
  <c r="G21" i="37"/>
  <c r="F20" i="37"/>
  <c r="G20" i="37"/>
  <c r="F19" i="37"/>
  <c r="G19" i="37"/>
  <c r="F18" i="37"/>
  <c r="G18" i="37"/>
  <c r="F16" i="37"/>
  <c r="G16" i="37"/>
  <c r="H17" i="37"/>
  <c r="H20" i="37"/>
  <c r="H21" i="37"/>
  <c r="F15" i="37"/>
  <c r="G15" i="37"/>
  <c r="F14" i="37"/>
  <c r="G14" i="37"/>
  <c r="H15" i="37"/>
  <c r="F11" i="37"/>
  <c r="G11" i="37"/>
  <c r="F10" i="37"/>
  <c r="G10" i="37"/>
  <c r="AO21" i="37"/>
  <c r="AO20" i="37"/>
  <c r="AO19" i="37"/>
  <c r="AO18" i="37"/>
  <c r="AO17" i="37"/>
  <c r="AO16" i="37"/>
  <c r="AO15" i="37"/>
  <c r="AO14" i="37"/>
  <c r="AR12" i="37"/>
  <c r="AO12" i="37" s="1"/>
  <c r="AO11" i="37"/>
  <c r="AO10" i="37"/>
  <c r="AO9" i="37"/>
  <c r="AR8" i="37"/>
  <c r="AR7" i="37" s="1"/>
  <c r="AR6" i="37" s="1"/>
  <c r="AQ8" i="37"/>
  <c r="AQ7" i="37" s="1"/>
  <c r="AQ6" i="37" s="1"/>
  <c r="AP8" i="37"/>
  <c r="AP7" i="37" s="1"/>
  <c r="AQ41" i="22" l="1"/>
  <c r="AP233" i="27"/>
  <c r="AP239" i="27"/>
  <c r="AP238" i="27"/>
  <c r="AP155" i="27"/>
  <c r="AP7" i="27"/>
  <c r="AR28" i="27"/>
  <c r="AP29" i="27"/>
  <c r="AP164" i="27"/>
  <c r="AQ11" i="22"/>
  <c r="AP254" i="27"/>
  <c r="AS27" i="27"/>
  <c r="AS6" i="27" s="1"/>
  <c r="AS28" i="27"/>
  <c r="AQ27" i="27"/>
  <c r="AQ28" i="27"/>
  <c r="AR27" i="27"/>
  <c r="AR6" i="27" s="1"/>
  <c r="AO7" i="37"/>
  <c r="AP6" i="37"/>
  <c r="AO6" i="37" s="1"/>
  <c r="AO8" i="37"/>
  <c r="F11" i="39"/>
  <c r="G11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2" i="39"/>
  <c r="F8" i="39"/>
  <c r="G8" i="39"/>
  <c r="H9" i="39"/>
  <c r="F10" i="39"/>
  <c r="G10" i="39"/>
  <c r="AP28" i="27" l="1"/>
  <c r="AQ6" i="27"/>
  <c r="AP6" i="27" s="1"/>
  <c r="AP27" i="27"/>
  <c r="AO32" i="39"/>
  <c r="AO31" i="39"/>
  <c r="AO30" i="39"/>
  <c r="AO29" i="39"/>
  <c r="AO28" i="39"/>
  <c r="AO27" i="39"/>
  <c r="AO26" i="39"/>
  <c r="AO25" i="39"/>
  <c r="AO24" i="39"/>
  <c r="AO23" i="39"/>
  <c r="AO22" i="39"/>
  <c r="AO21" i="39"/>
  <c r="AO20" i="39"/>
  <c r="AO19" i="39"/>
  <c r="AO18" i="39"/>
  <c r="AO17" i="39"/>
  <c r="AO16" i="39"/>
  <c r="AO15" i="39"/>
  <c r="AO14" i="39"/>
  <c r="AO13" i="39"/>
  <c r="AO11" i="39"/>
  <c r="AO12" i="39"/>
  <c r="AR10" i="39"/>
  <c r="AO10" i="39" s="1"/>
  <c r="AO9" i="39"/>
  <c r="AO8" i="39"/>
  <c r="AR7" i="39"/>
  <c r="AQ7" i="39"/>
  <c r="AP7" i="39"/>
  <c r="F14" i="38"/>
  <c r="H14" i="38"/>
  <c r="F11" i="38"/>
  <c r="G11" i="38"/>
  <c r="F9" i="38"/>
  <c r="H10" i="38"/>
  <c r="AO14" i="38"/>
  <c r="AR13" i="38"/>
  <c r="AQ13" i="38"/>
  <c r="AP13" i="38"/>
  <c r="AO12" i="38"/>
  <c r="AO11" i="38"/>
  <c r="AO10" i="38"/>
  <c r="AO9" i="38"/>
  <c r="AR8" i="38"/>
  <c r="AQ8" i="38"/>
  <c r="AP8" i="38"/>
  <c r="AO10" i="44"/>
  <c r="AO11" i="44"/>
  <c r="AO9" i="44"/>
  <c r="AR7" i="44"/>
  <c r="AO8" i="44"/>
  <c r="AQ7" i="44"/>
  <c r="AP7" i="44"/>
  <c r="AO7" i="44" l="1"/>
  <c r="AO7" i="39"/>
  <c r="AR7" i="38"/>
  <c r="AR6" i="39"/>
  <c r="AO6" i="39" s="1"/>
  <c r="AP7" i="38"/>
  <c r="AQ7" i="38"/>
  <c r="AO13" i="38"/>
  <c r="AO8" i="38"/>
  <c r="K41" i="41"/>
  <c r="L37" i="41"/>
  <c r="L36" i="41"/>
  <c r="K35" i="41"/>
  <c r="L31" i="41"/>
  <c r="K29" i="41"/>
  <c r="L25" i="41"/>
  <c r="L24" i="41"/>
  <c r="K23" i="41"/>
  <c r="L19" i="41"/>
  <c r="L18" i="41"/>
  <c r="K17" i="41"/>
  <c r="K10" i="41"/>
  <c r="L6" i="41"/>
  <c r="K4" i="41"/>
  <c r="AO7" i="38" l="1"/>
  <c r="H22" i="37"/>
  <c r="E22" i="37" l="1"/>
  <c r="AC22" i="37"/>
  <c r="AF266" i="27"/>
  <c r="G266" i="27" s="1"/>
  <c r="AF22" i="27"/>
  <c r="G22" i="27" s="1"/>
  <c r="D22" i="27" s="1"/>
  <c r="H44" i="41" l="1"/>
  <c r="AM254" i="27" l="1"/>
  <c r="AN254" i="27"/>
  <c r="AO254" i="27"/>
  <c r="D266" i="27"/>
  <c r="AC266" i="27"/>
  <c r="D267" i="27"/>
  <c r="AC267" i="27"/>
  <c r="AL261" i="27"/>
  <c r="AL262" i="27"/>
  <c r="AL265" i="27"/>
  <c r="AH266" i="27" l="1"/>
  <c r="AF206" i="27" l="1"/>
  <c r="G206" i="27" s="1"/>
  <c r="D206" i="27" s="1"/>
  <c r="AE206" i="27"/>
  <c r="AF228" i="27"/>
  <c r="G228" i="27" s="1"/>
  <c r="D228" i="27" s="1"/>
  <c r="AE228" i="27"/>
  <c r="G23" i="27" l="1"/>
  <c r="D23" i="27" s="1"/>
  <c r="AB14" i="22" l="1"/>
  <c r="AF262" i="27" l="1"/>
  <c r="G262" i="27" s="1"/>
  <c r="AF237" i="27"/>
  <c r="G237" i="27" s="1"/>
  <c r="AF172" i="27"/>
  <c r="AF141" i="27"/>
  <c r="G85" i="27"/>
  <c r="AF56" i="27"/>
  <c r="G56" i="27" s="1"/>
  <c r="AC59" i="27"/>
  <c r="AC60" i="27"/>
  <c r="G161" i="27" l="1"/>
  <c r="D161" i="27" s="1"/>
  <c r="AF155" i="27"/>
  <c r="AF29" i="27"/>
  <c r="D262" i="27" l="1"/>
  <c r="AC262" i="27"/>
  <c r="AF27" i="22" l="1"/>
  <c r="AF13" i="22" s="1"/>
  <c r="AE28" i="22"/>
  <c r="G20" i="27" l="1"/>
  <c r="D20" i="27" s="1"/>
  <c r="F24" i="27" l="1"/>
  <c r="AF24" i="27"/>
  <c r="G24" i="27" s="1"/>
  <c r="D24" i="27" l="1"/>
  <c r="AF265" i="27"/>
  <c r="G265" i="27" s="1"/>
  <c r="D265" i="27" s="1"/>
  <c r="F237" i="27"/>
  <c r="AF233" i="27"/>
  <c r="AC236" i="27"/>
  <c r="AC237" i="27"/>
  <c r="G72" i="27"/>
  <c r="AE8" i="27"/>
  <c r="AC24" i="27"/>
  <c r="AC265" i="27" l="1"/>
  <c r="D237" i="27"/>
  <c r="AM65" i="22"/>
  <c r="AI65" i="22"/>
  <c r="AE65" i="22"/>
  <c r="AM16" i="22"/>
  <c r="AM17" i="22"/>
  <c r="AM15" i="22"/>
  <c r="AI16" i="22"/>
  <c r="AI17" i="22"/>
  <c r="AI15" i="22"/>
  <c r="AE16" i="22"/>
  <c r="AE17" i="22"/>
  <c r="AE15" i="22"/>
  <c r="AM24" i="22"/>
  <c r="AM23" i="22"/>
  <c r="AI24" i="22"/>
  <c r="AI25" i="22"/>
  <c r="AI23" i="22"/>
  <c r="AE24" i="22"/>
  <c r="AE25" i="22"/>
  <c r="AE23" i="22"/>
  <c r="AM20" i="22"/>
  <c r="AM21" i="22"/>
  <c r="AM19" i="22"/>
  <c r="AI20" i="22"/>
  <c r="AI21" i="22"/>
  <c r="AI19" i="22"/>
  <c r="AE20" i="22"/>
  <c r="AE21" i="22"/>
  <c r="AE19" i="22"/>
  <c r="F65" i="22"/>
  <c r="G65" i="22"/>
  <c r="E65" i="22" l="1"/>
  <c r="E21" i="22"/>
  <c r="E25" i="22"/>
  <c r="E23" i="22"/>
  <c r="E24" i="22"/>
  <c r="E19" i="22"/>
  <c r="E20" i="22"/>
  <c r="E15" i="22"/>
  <c r="AF128" i="27" l="1"/>
  <c r="AF226" i="27" l="1"/>
  <c r="G226" i="27" s="1"/>
  <c r="D226" i="27" s="1"/>
  <c r="AF224" i="27"/>
  <c r="G224" i="27" s="1"/>
  <c r="D224" i="27" s="1"/>
  <c r="AF153" i="27"/>
  <c r="G153" i="27" s="1"/>
  <c r="D153" i="27" s="1"/>
  <c r="AF151" i="27"/>
  <c r="G151" i="27" s="1"/>
  <c r="AF150" i="27"/>
  <c r="G150" i="27" s="1"/>
  <c r="AF139" i="27"/>
  <c r="AC161" i="27" l="1"/>
  <c r="AH20" i="27" l="1"/>
  <c r="H14" i="22"/>
  <c r="AK7" i="27" l="1"/>
  <c r="AC20" i="27"/>
  <c r="AF8" i="27"/>
  <c r="G19" i="27" l="1"/>
  <c r="D19" i="27" s="1"/>
  <c r="H45" i="41" l="1"/>
  <c r="H42" i="41"/>
  <c r="AF16" i="37"/>
  <c r="L45" i="41" l="1"/>
  <c r="H10" i="41"/>
  <c r="F261" i="27" l="1"/>
  <c r="H261" i="27"/>
  <c r="AG8" i="27"/>
  <c r="AG7" i="27" s="1"/>
  <c r="AE254" i="27"/>
  <c r="AG254" i="27"/>
  <c r="AC261" i="27"/>
  <c r="H7" i="27" l="1"/>
  <c r="AG6" i="27"/>
  <c r="H6" i="27" s="1"/>
  <c r="H8" i="27"/>
  <c r="G64" i="22" l="1"/>
  <c r="AO7" i="27" l="1"/>
  <c r="AN7" i="27"/>
  <c r="AM7" i="27"/>
  <c r="AJ7" i="27"/>
  <c r="AL7" i="27" l="1"/>
  <c r="D44" i="41"/>
  <c r="C44" i="41"/>
  <c r="J43" i="41"/>
  <c r="I43" i="41"/>
  <c r="H43" i="41"/>
  <c r="G43" i="41"/>
  <c r="F43" i="41"/>
  <c r="E43" i="41"/>
  <c r="D43" i="41"/>
  <c r="C43" i="41"/>
  <c r="F42" i="41"/>
  <c r="E42" i="41"/>
  <c r="D42" i="41"/>
  <c r="D41" i="41" s="1"/>
  <c r="C42" i="41"/>
  <c r="H35" i="41"/>
  <c r="G38" i="41"/>
  <c r="J35" i="41"/>
  <c r="I35" i="41"/>
  <c r="F35" i="41"/>
  <c r="G32" i="41"/>
  <c r="L32" i="41" s="1"/>
  <c r="G30" i="41"/>
  <c r="J29" i="41"/>
  <c r="I29" i="41"/>
  <c r="H29" i="41"/>
  <c r="F29" i="41"/>
  <c r="E29" i="41"/>
  <c r="D29" i="41"/>
  <c r="C29" i="41"/>
  <c r="G26" i="41"/>
  <c r="G23" i="41" s="1"/>
  <c r="F26" i="41"/>
  <c r="J23" i="41"/>
  <c r="I23" i="41"/>
  <c r="E23" i="41"/>
  <c r="D23" i="41"/>
  <c r="C23" i="41"/>
  <c r="H17" i="41"/>
  <c r="G20" i="41"/>
  <c r="L20" i="41" s="1"/>
  <c r="L17" i="41" s="1"/>
  <c r="J17" i="41"/>
  <c r="I17" i="41"/>
  <c r="F17" i="41"/>
  <c r="E17" i="41"/>
  <c r="D17" i="41"/>
  <c r="C17" i="41"/>
  <c r="I44" i="41"/>
  <c r="G13" i="41"/>
  <c r="L13" i="41" s="1"/>
  <c r="J10" i="41"/>
  <c r="G11" i="41"/>
  <c r="L11" i="41" s="1"/>
  <c r="F10" i="41"/>
  <c r="E10" i="41"/>
  <c r="D10" i="41"/>
  <c r="C10" i="41"/>
  <c r="E7" i="41"/>
  <c r="G5" i="41"/>
  <c r="L5" i="41" s="1"/>
  <c r="F4" i="41"/>
  <c r="D4" i="41"/>
  <c r="C4" i="41"/>
  <c r="I47" i="41" l="1"/>
  <c r="I41" i="41"/>
  <c r="L10" i="41"/>
  <c r="F44" i="41"/>
  <c r="F41" i="41" s="1"/>
  <c r="L26" i="41"/>
  <c r="L23" i="41" s="1"/>
  <c r="L43" i="41"/>
  <c r="E4" i="41"/>
  <c r="L7" i="41"/>
  <c r="G29" i="41"/>
  <c r="L30" i="41"/>
  <c r="L29" i="41" s="1"/>
  <c r="G35" i="41"/>
  <c r="L38" i="41"/>
  <c r="L35" i="41" s="1"/>
  <c r="J44" i="41"/>
  <c r="J47" i="41" s="1"/>
  <c r="G10" i="41"/>
  <c r="H23" i="41"/>
  <c r="H41" i="41"/>
  <c r="J42" i="41"/>
  <c r="I10" i="41"/>
  <c r="F23" i="41"/>
  <c r="H4" i="41"/>
  <c r="G44" i="41"/>
  <c r="C41" i="41"/>
  <c r="G42" i="41"/>
  <c r="E44" i="41"/>
  <c r="E41" i="41" s="1"/>
  <c r="G17" i="41"/>
  <c r="G4" i="41"/>
  <c r="L44" i="41" l="1"/>
  <c r="L42" i="41"/>
  <c r="J41" i="41"/>
  <c r="G41" i="41"/>
  <c r="L4" i="41"/>
  <c r="L41" i="41" l="1"/>
  <c r="AE164" i="27" l="1"/>
  <c r="AC205" i="27"/>
  <c r="AC206" i="27"/>
  <c r="AC202" i="27"/>
  <c r="AC203" i="27"/>
  <c r="AC204" i="27"/>
  <c r="AF225" i="27"/>
  <c r="G225" i="27" s="1"/>
  <c r="D225" i="27" s="1"/>
  <c r="AC156" i="27" l="1"/>
  <c r="AC157" i="27"/>
  <c r="AC158" i="27"/>
  <c r="AC159" i="27"/>
  <c r="AC160" i="27"/>
  <c r="AC162" i="27"/>
  <c r="AC163" i="27"/>
  <c r="AC153" i="27"/>
  <c r="AF152" i="27"/>
  <c r="G152" i="27" s="1"/>
  <c r="AF138" i="27"/>
  <c r="G138" i="27" s="1"/>
  <c r="AC21" i="27"/>
  <c r="AC22" i="27"/>
  <c r="AC23" i="27"/>
  <c r="AF66" i="27" l="1"/>
  <c r="AF164" i="27" l="1"/>
  <c r="AC227" i="27"/>
  <c r="AC228" i="27"/>
  <c r="AB11" i="37" l="1"/>
  <c r="AB40" i="22"/>
  <c r="H40" i="22" s="1"/>
  <c r="AB22" i="22" l="1"/>
  <c r="H22" i="22" s="1"/>
  <c r="AB64" i="22"/>
  <c r="AB10" i="37" l="1"/>
  <c r="H10" i="37" s="1"/>
  <c r="AB9" i="37"/>
  <c r="H9" i="37" s="1"/>
  <c r="AB18" i="22"/>
  <c r="H18" i="22" s="1"/>
  <c r="AA9" i="38" l="1"/>
  <c r="AB31" i="39"/>
  <c r="H31" i="39" s="1"/>
  <c r="AB14" i="37"/>
  <c r="H14" i="37" s="1"/>
  <c r="AA251" i="27"/>
  <c r="AA201" i="27"/>
  <c r="AB156" i="27"/>
  <c r="AA33" i="22"/>
  <c r="AA18" i="22"/>
  <c r="AA31" i="22" l="1"/>
  <c r="G33" i="22"/>
  <c r="AB19" i="37" l="1"/>
  <c r="AB92" i="27"/>
  <c r="AB79" i="27"/>
  <c r="G79" i="27" s="1"/>
  <c r="AB139" i="27"/>
  <c r="G139" i="27" s="1"/>
  <c r="AB11" i="44" l="1"/>
  <c r="H11" i="44" s="1"/>
  <c r="AB10" i="44"/>
  <c r="H10" i="44" s="1"/>
  <c r="AB16" i="37"/>
  <c r="AB252" i="27" l="1"/>
  <c r="G252" i="27" s="1"/>
  <c r="Y243" i="27"/>
  <c r="Y244" i="27"/>
  <c r="Y245" i="27"/>
  <c r="Y246" i="27"/>
  <c r="Y247" i="27"/>
  <c r="Y248" i="27"/>
  <c r="Y249" i="27"/>
  <c r="AB232" i="27"/>
  <c r="AB201" i="27"/>
  <c r="G201" i="27" s="1"/>
  <c r="Y224" i="27"/>
  <c r="Y225" i="27"/>
  <c r="Y226" i="27"/>
  <c r="Y227" i="27"/>
  <c r="AB205" i="27"/>
  <c r="G205" i="27" s="1"/>
  <c r="D205" i="27" s="1"/>
  <c r="AB172" i="27"/>
  <c r="G172" i="27" s="1"/>
  <c r="AB123" i="27"/>
  <c r="G123" i="27" s="1"/>
  <c r="AB59" i="27"/>
  <c r="G59" i="27" s="1"/>
  <c r="D59" i="27" s="1"/>
  <c r="AB60" i="22"/>
  <c r="H60" i="22" s="1"/>
  <c r="AB33" i="22"/>
  <c r="AB164" i="27" l="1"/>
  <c r="AD254" i="27" l="1"/>
  <c r="E254" i="27" s="1"/>
  <c r="D261" i="27"/>
  <c r="AC152" i="27" l="1"/>
  <c r="E152" i="27"/>
  <c r="F152" i="27"/>
  <c r="AC150" i="27"/>
  <c r="AC146" i="27"/>
  <c r="AC147" i="27"/>
  <c r="AC148" i="27"/>
  <c r="AC149" i="27"/>
  <c r="AC151" i="27"/>
  <c r="E151" i="27"/>
  <c r="F151" i="27"/>
  <c r="E150" i="27"/>
  <c r="F150" i="27"/>
  <c r="E149" i="27"/>
  <c r="F149" i="27"/>
  <c r="AC68" i="27"/>
  <c r="AC69" i="27"/>
  <c r="AC70" i="27"/>
  <c r="AC71" i="27"/>
  <c r="AC72" i="27"/>
  <c r="AC73" i="27"/>
  <c r="AC74" i="27"/>
  <c r="AC75" i="27"/>
  <c r="AC76" i="27"/>
  <c r="AC77" i="27"/>
  <c r="AC78" i="27"/>
  <c r="AC79" i="27"/>
  <c r="AC80" i="27"/>
  <c r="AC81" i="27"/>
  <c r="AC82" i="27"/>
  <c r="AC83" i="27"/>
  <c r="AC84" i="27"/>
  <c r="AC141" i="27"/>
  <c r="AC140" i="27"/>
  <c r="AC142" i="27"/>
  <c r="AC143" i="27"/>
  <c r="AC144" i="27"/>
  <c r="AC145" i="27"/>
  <c r="AC125" i="27"/>
  <c r="AC126" i="27"/>
  <c r="AC127" i="27"/>
  <c r="AC128" i="27"/>
  <c r="AC135" i="27"/>
  <c r="AC136" i="27"/>
  <c r="AC137" i="27"/>
  <c r="AC138" i="27"/>
  <c r="AC175" i="27"/>
  <c r="AC176" i="27"/>
  <c r="AC177" i="27"/>
  <c r="AC178" i="27"/>
  <c r="AC179" i="27"/>
  <c r="AC180" i="27"/>
  <c r="AC181" i="27"/>
  <c r="AC182" i="27"/>
  <c r="AC183" i="27"/>
  <c r="AC184" i="27"/>
  <c r="D150" i="27" l="1"/>
  <c r="D149" i="27"/>
  <c r="D151" i="27"/>
  <c r="D152" i="27"/>
  <c r="AC32" i="39"/>
  <c r="AG32" i="39"/>
  <c r="AN9" i="44" l="1"/>
  <c r="AN8" i="44" s="1"/>
  <c r="AJ13" i="22" l="1"/>
  <c r="AK31" i="22"/>
  <c r="AK13" i="22" s="1"/>
  <c r="AG27" i="22"/>
  <c r="AH27" i="22"/>
  <c r="AG31" i="22"/>
  <c r="AG13" i="22" l="1"/>
  <c r="F252" i="27" l="1"/>
  <c r="E252" i="27"/>
  <c r="F251" i="27"/>
  <c r="E172" i="27"/>
  <c r="F172" i="27"/>
  <c r="E85" i="27"/>
  <c r="F85" i="27"/>
  <c r="E89" i="27"/>
  <c r="F89" i="27"/>
  <c r="E90" i="27"/>
  <c r="F90" i="27"/>
  <c r="F91" i="27"/>
  <c r="E92" i="27"/>
  <c r="F92" i="27"/>
  <c r="E93" i="27"/>
  <c r="F93" i="27"/>
  <c r="E94" i="27"/>
  <c r="F94" i="27"/>
  <c r="E95" i="27"/>
  <c r="F95" i="27"/>
  <c r="E96" i="27"/>
  <c r="F96" i="27"/>
  <c r="E97" i="27"/>
  <c r="F97" i="27"/>
  <c r="E98" i="27"/>
  <c r="F98" i="27"/>
  <c r="AL92" i="27"/>
  <c r="AL93" i="27"/>
  <c r="AL94" i="27"/>
  <c r="AL95" i="27"/>
  <c r="AL96" i="27"/>
  <c r="AL97" i="27"/>
  <c r="AH92" i="27"/>
  <c r="AH93" i="27"/>
  <c r="AH94" i="27"/>
  <c r="AH95" i="27"/>
  <c r="AH96" i="27"/>
  <c r="AH97" i="27"/>
  <c r="AO66" i="27"/>
  <c r="AL98" i="27"/>
  <c r="AH98" i="27"/>
  <c r="AH261" i="27"/>
  <c r="AO164" i="27"/>
  <c r="AD164" i="27"/>
  <c r="AL252" i="27"/>
  <c r="AL251" i="27"/>
  <c r="AL226" i="27"/>
  <c r="AH226" i="27"/>
  <c r="AC172" i="27"/>
  <c r="AC225" i="27"/>
  <c r="AC226" i="27"/>
  <c r="AC224" i="27"/>
  <c r="AC139" i="27"/>
  <c r="AC98" i="27"/>
  <c r="AC85" i="27"/>
  <c r="AH18" i="27"/>
  <c r="AH19" i="27"/>
  <c r="AH21" i="27"/>
  <c r="AN12" i="37"/>
  <c r="AN10" i="39"/>
  <c r="AJ10" i="39"/>
  <c r="AN12" i="39"/>
  <c r="AN11" i="39" s="1"/>
  <c r="AJ12" i="39"/>
  <c r="AF12" i="39"/>
  <c r="AF10" i="39"/>
  <c r="AL7" i="39"/>
  <c r="AM7" i="39"/>
  <c r="AN7" i="39"/>
  <c r="AN6" i="39" l="1"/>
  <c r="AL7" i="44"/>
  <c r="AM7" i="44"/>
  <c r="F10" i="44"/>
  <c r="G10" i="44"/>
  <c r="AK10" i="44"/>
  <c r="AK11" i="44"/>
  <c r="AK9" i="44"/>
  <c r="AK8" i="44"/>
  <c r="AL13" i="38"/>
  <c r="AM13" i="38"/>
  <c r="AN13" i="38"/>
  <c r="AL8" i="38"/>
  <c r="AM8" i="38"/>
  <c r="AN8" i="38"/>
  <c r="AK9" i="38"/>
  <c r="AK10" i="38"/>
  <c r="AK11" i="38"/>
  <c r="AK12" i="38"/>
  <c r="AK14" i="38"/>
  <c r="AK7" i="39"/>
  <c r="AK9" i="39"/>
  <c r="AK10" i="39"/>
  <c r="AK11" i="39"/>
  <c r="AK12" i="39"/>
  <c r="AK13" i="39"/>
  <c r="AK14" i="39"/>
  <c r="AK15" i="39"/>
  <c r="AK16" i="39"/>
  <c r="AK17" i="39"/>
  <c r="AK18" i="39"/>
  <c r="AK19" i="39"/>
  <c r="AK20" i="39"/>
  <c r="AK21" i="39"/>
  <c r="AK22" i="39"/>
  <c r="AK23" i="39"/>
  <c r="AK24" i="39"/>
  <c r="AK25" i="39"/>
  <c r="AK26" i="39"/>
  <c r="AK27" i="39"/>
  <c r="AK28" i="39"/>
  <c r="AK29" i="39"/>
  <c r="AK30" i="39"/>
  <c r="AK31" i="39"/>
  <c r="AK32" i="39"/>
  <c r="AK8" i="39"/>
  <c r="AK6" i="39"/>
  <c r="AK16" i="37"/>
  <c r="AK17" i="37"/>
  <c r="AK18" i="37"/>
  <c r="AK19" i="37"/>
  <c r="AK20" i="37"/>
  <c r="AK21" i="37"/>
  <c r="AK15" i="37"/>
  <c r="AK14" i="37"/>
  <c r="AK12" i="37"/>
  <c r="AK10" i="37"/>
  <c r="AK11" i="37"/>
  <c r="AL8" i="37"/>
  <c r="AL7" i="37" s="1"/>
  <c r="AL6" i="37" s="1"/>
  <c r="AM8" i="37"/>
  <c r="AM7" i="37" s="1"/>
  <c r="AM6" i="37" s="1"/>
  <c r="AN8" i="37"/>
  <c r="AM7" i="38" l="1"/>
  <c r="AN7" i="38"/>
  <c r="AL7" i="38"/>
  <c r="AK8" i="37"/>
  <c r="AN7" i="37"/>
  <c r="AN7" i="44"/>
  <c r="AK13" i="38"/>
  <c r="AK8" i="38"/>
  <c r="E253" i="27"/>
  <c r="F253" i="27"/>
  <c r="E251" i="27"/>
  <c r="E232" i="27"/>
  <c r="E231" i="27" s="1"/>
  <c r="F232" i="27"/>
  <c r="F231" i="27" s="1"/>
  <c r="AK7" i="44" l="1"/>
  <c r="AK7" i="38"/>
  <c r="AN6" i="37"/>
  <c r="AK6" i="37" s="1"/>
  <c r="AK7" i="37"/>
  <c r="E30" i="27"/>
  <c r="F30" i="27"/>
  <c r="E31" i="27"/>
  <c r="F31" i="27"/>
  <c r="AM29" i="27"/>
  <c r="AN29" i="27"/>
  <c r="AO29" i="27"/>
  <c r="AL66" i="27"/>
  <c r="AM155" i="27"/>
  <c r="AN155" i="27"/>
  <c r="AO155" i="27"/>
  <c r="AM164" i="27"/>
  <c r="AN164" i="27"/>
  <c r="AI231" i="27"/>
  <c r="AJ231" i="27"/>
  <c r="AL231" i="27"/>
  <c r="AM231" i="27"/>
  <c r="AN231" i="27"/>
  <c r="AK232" i="27"/>
  <c r="AO231" i="27"/>
  <c r="AM233" i="27"/>
  <c r="AN233" i="27"/>
  <c r="AO233" i="27"/>
  <c r="AI239" i="27"/>
  <c r="AJ239" i="27"/>
  <c r="AM239" i="27"/>
  <c r="AN239" i="27"/>
  <c r="AO239" i="27"/>
  <c r="AO238" i="27" s="1"/>
  <c r="AK239" i="27"/>
  <c r="AK238" i="27" s="1"/>
  <c r="AM238" i="27"/>
  <c r="AN238" i="27"/>
  <c r="AL254" i="27"/>
  <c r="AL255" i="27"/>
  <c r="AL256" i="27"/>
  <c r="AL260" i="27"/>
  <c r="AH260" i="27"/>
  <c r="AC260" i="27"/>
  <c r="AM14" i="22"/>
  <c r="AM18" i="22"/>
  <c r="AM22" i="22"/>
  <c r="AM26" i="22"/>
  <c r="AN27" i="22"/>
  <c r="AO27" i="22"/>
  <c r="AP27" i="22"/>
  <c r="AN31" i="22"/>
  <c r="AN13" i="22" s="1"/>
  <c r="AO31" i="22"/>
  <c r="AO13" i="22" s="1"/>
  <c r="AM36" i="22"/>
  <c r="AM37" i="22"/>
  <c r="AM38" i="22"/>
  <c r="AM39" i="22"/>
  <c r="AM40" i="22"/>
  <c r="AM44" i="22"/>
  <c r="AM45" i="22"/>
  <c r="AM46" i="22"/>
  <c r="AM47" i="22"/>
  <c r="AN43" i="22"/>
  <c r="AO43" i="22"/>
  <c r="AP43" i="22"/>
  <c r="AN48" i="22"/>
  <c r="AO48" i="22"/>
  <c r="AP48" i="22"/>
  <c r="AM49" i="22"/>
  <c r="AM50" i="22"/>
  <c r="AM51" i="22"/>
  <c r="AM54" i="22"/>
  <c r="AM57" i="22"/>
  <c r="AM58" i="22"/>
  <c r="AM59" i="22"/>
  <c r="AM60" i="22"/>
  <c r="AM56" i="22"/>
  <c r="AN55" i="22"/>
  <c r="AN53" i="22" s="1"/>
  <c r="AO55" i="22"/>
  <c r="AO53" i="22" s="1"/>
  <c r="AP55" i="22"/>
  <c r="AP53" i="22" s="1"/>
  <c r="AJ55" i="22"/>
  <c r="AJ53" i="22" s="1"/>
  <c r="AK55" i="22"/>
  <c r="AK53" i="22" s="1"/>
  <c r="AL42" i="22"/>
  <c r="AM63" i="22"/>
  <c r="AM64" i="22"/>
  <c r="AM67" i="22"/>
  <c r="AI53" i="22" l="1"/>
  <c r="AN42" i="22"/>
  <c r="AP42" i="22"/>
  <c r="AO42" i="22"/>
  <c r="AO41" i="22" s="1"/>
  <c r="D31" i="27"/>
  <c r="AL164" i="27"/>
  <c r="AO12" i="22"/>
  <c r="AL29" i="27"/>
  <c r="AM27" i="22"/>
  <c r="AN12" i="22"/>
  <c r="AM48" i="22"/>
  <c r="AN27" i="27"/>
  <c r="AN6" i="27" s="1"/>
  <c r="AL239" i="27"/>
  <c r="AL155" i="27"/>
  <c r="AO28" i="27"/>
  <c r="AM27" i="27"/>
  <c r="AM6" i="27" s="1"/>
  <c r="E6" i="27" s="1"/>
  <c r="AM53" i="22"/>
  <c r="AN41" i="22"/>
  <c r="AN28" i="27"/>
  <c r="AM55" i="22"/>
  <c r="AM28" i="27"/>
  <c r="AM43" i="22"/>
  <c r="AP12" i="22"/>
  <c r="AM31" i="22"/>
  <c r="AL238" i="27"/>
  <c r="AO27" i="27"/>
  <c r="AO6" i="27" s="1"/>
  <c r="AL233" i="27"/>
  <c r="AP41" i="22" l="1"/>
  <c r="AM41" i="22" s="1"/>
  <c r="AW12" i="22"/>
  <c r="AN11" i="22"/>
  <c r="AL28" i="27"/>
  <c r="AO11" i="22"/>
  <c r="AM42" i="22"/>
  <c r="AM13" i="22"/>
  <c r="AL27" i="27"/>
  <c r="AM12" i="22"/>
  <c r="AP11" i="22" l="1"/>
  <c r="AM11" i="22" s="1"/>
  <c r="AL6" i="27"/>
  <c r="AB104" i="27" l="1"/>
  <c r="G104" i="27" s="1"/>
  <c r="AB18" i="27"/>
  <c r="G18" i="27" s="1"/>
  <c r="D18" i="27" s="1"/>
  <c r="Y183" i="27" l="1"/>
  <c r="Y184" i="27"/>
  <c r="Y185" i="27"/>
  <c r="AA22" i="22" l="1"/>
  <c r="AC17" i="27" l="1"/>
  <c r="AC18" i="27"/>
  <c r="Y202" i="27" l="1"/>
  <c r="Y203" i="27"/>
  <c r="Y204" i="27"/>
  <c r="Y205" i="27"/>
  <c r="Y206" i="27"/>
  <c r="Y171" i="27"/>
  <c r="Y172" i="27"/>
  <c r="Y173" i="27"/>
  <c r="Y174" i="27"/>
  <c r="Y175" i="27"/>
  <c r="Y176" i="27"/>
  <c r="Y177" i="27"/>
  <c r="Y178" i="27"/>
  <c r="Y179" i="27"/>
  <c r="AA8" i="37" l="1"/>
  <c r="AA14" i="22"/>
  <c r="AB147" i="27" l="1"/>
  <c r="G147" i="27" s="1"/>
  <c r="Y21" i="27"/>
  <c r="AB8" i="27"/>
  <c r="E60" i="22" l="1"/>
  <c r="AB55" i="22"/>
  <c r="Y60" i="22"/>
  <c r="AB29" i="27" l="1"/>
  <c r="Y59" i="27"/>
  <c r="AB90" i="27"/>
  <c r="G90" i="27" s="1"/>
  <c r="AB128" i="27"/>
  <c r="G128" i="27" s="1"/>
  <c r="AB141" i="27"/>
  <c r="G141" i="27" s="1"/>
  <c r="AB148" i="27"/>
  <c r="G148" i="27" s="1"/>
  <c r="AB163" i="27"/>
  <c r="G163" i="27" s="1"/>
  <c r="AB11" i="38" l="1"/>
  <c r="Y194" i="27" l="1"/>
  <c r="Y195" i="27"/>
  <c r="Y196" i="27"/>
  <c r="Y197" i="27"/>
  <c r="AB10" i="39" l="1"/>
  <c r="Y32" i="39"/>
  <c r="E32" i="39"/>
  <c r="D258" i="27" l="1"/>
  <c r="D260" i="27"/>
  <c r="AB259" i="27"/>
  <c r="Y260" i="27"/>
  <c r="Y259" i="27" l="1"/>
  <c r="G259" i="27"/>
  <c r="D259" i="27" s="1"/>
  <c r="AB254" i="27"/>
  <c r="Y254" i="27" s="1"/>
  <c r="Y149" i="27" l="1"/>
  <c r="Y19" i="27"/>
  <c r="AB18" i="37" l="1"/>
  <c r="Y79" i="27"/>
  <c r="Y80" i="27"/>
  <c r="Y81" i="27"/>
  <c r="Y82" i="27"/>
  <c r="Y83" i="27"/>
  <c r="Y84" i="27"/>
  <c r="Y85" i="27"/>
  <c r="Y86" i="27"/>
  <c r="Y87" i="27"/>
  <c r="Y88" i="27"/>
  <c r="Y89" i="27"/>
  <c r="Y90" i="27"/>
  <c r="Y91" i="27"/>
  <c r="AB143" i="27"/>
  <c r="G143" i="27" s="1"/>
  <c r="AB146" i="27"/>
  <c r="G146" i="27" s="1"/>
  <c r="AB66" i="27" l="1"/>
  <c r="E163" i="27" l="1"/>
  <c r="F163" i="27"/>
  <c r="AB155" i="27"/>
  <c r="D163" i="27" l="1"/>
  <c r="D253" i="27"/>
  <c r="Y156" i="27"/>
  <c r="Y163" i="27" l="1"/>
  <c r="Y253" i="27" l="1"/>
  <c r="X19" i="37" l="1"/>
  <c r="H19" i="37" s="1"/>
  <c r="X18" i="37"/>
  <c r="H18" i="37" s="1"/>
  <c r="X8" i="39" l="1"/>
  <c r="X33" i="22" l="1"/>
  <c r="H33" i="22" s="1"/>
  <c r="X44" i="22" l="1"/>
  <c r="H44" i="22" s="1"/>
  <c r="X49" i="22"/>
  <c r="H49" i="22" s="1"/>
  <c r="X64" i="22"/>
  <c r="H64" i="22" s="1"/>
  <c r="E64" i="22" s="1"/>
  <c r="X92" i="27"/>
  <c r="G92" i="27" s="1"/>
  <c r="X232" i="27"/>
  <c r="G232" i="27" s="1"/>
  <c r="G231" i="27" s="1"/>
  <c r="X11" i="37"/>
  <c r="H11" i="37" s="1"/>
  <c r="X48" i="22" l="1"/>
  <c r="X55" i="22"/>
  <c r="W31" i="22"/>
  <c r="D202" i="27" l="1"/>
  <c r="D203" i="27"/>
  <c r="U201" i="27"/>
  <c r="U202" i="27"/>
  <c r="U203" i="27"/>
  <c r="U204" i="27"/>
  <c r="U51" i="22" l="1"/>
  <c r="E51" i="22" s="1"/>
  <c r="W236" i="27" l="1"/>
  <c r="F236" i="27" s="1"/>
  <c r="AH257" i="27"/>
  <c r="I257" i="27"/>
  <c r="I256" i="27" s="1"/>
  <c r="I255" i="27" s="1"/>
  <c r="I254" i="27" s="1"/>
  <c r="F257" i="27"/>
  <c r="F256" i="27" s="1"/>
  <c r="F255" i="27" s="1"/>
  <c r="E257" i="27"/>
  <c r="AH256" i="27"/>
  <c r="L256" i="27"/>
  <c r="L255" i="27" s="1"/>
  <c r="L254" i="27" s="1"/>
  <c r="K256" i="27"/>
  <c r="K255" i="27" s="1"/>
  <c r="J256" i="27"/>
  <c r="J255" i="27" s="1"/>
  <c r="AK255" i="27"/>
  <c r="AK254" i="27" s="1"/>
  <c r="AF255" i="27"/>
  <c r="AF254" i="27" s="1"/>
  <c r="AB255" i="27"/>
  <c r="Y255" i="27" s="1"/>
  <c r="X255" i="27"/>
  <c r="U255" i="27" s="1"/>
  <c r="T255" i="27"/>
  <c r="Q255" i="27" s="1"/>
  <c r="AH252" i="27"/>
  <c r="AC252" i="27"/>
  <c r="Y252" i="27"/>
  <c r="U252" i="27"/>
  <c r="Q252" i="27"/>
  <c r="M252" i="27"/>
  <c r="I252" i="27"/>
  <c r="AH251" i="27"/>
  <c r="AC251" i="27"/>
  <c r="Y251" i="27"/>
  <c r="U251" i="27"/>
  <c r="Q251" i="27"/>
  <c r="M251" i="27"/>
  <c r="I251" i="27"/>
  <c r="AH249" i="27"/>
  <c r="Q249" i="27"/>
  <c r="F249" i="27"/>
  <c r="E249" i="27"/>
  <c r="AH248" i="27"/>
  <c r="Q248" i="27"/>
  <c r="F248" i="27"/>
  <c r="E248" i="27"/>
  <c r="AH247" i="27"/>
  <c r="Q247" i="27"/>
  <c r="I247" i="27"/>
  <c r="F247" i="27"/>
  <c r="E247" i="27"/>
  <c r="AH246" i="27"/>
  <c r="M246" i="27"/>
  <c r="F246" i="27"/>
  <c r="E246" i="27"/>
  <c r="AH245" i="27"/>
  <c r="M245" i="27"/>
  <c r="F245" i="27"/>
  <c r="E245" i="27"/>
  <c r="AH244" i="27"/>
  <c r="M244" i="27"/>
  <c r="F244" i="27"/>
  <c r="E244" i="27"/>
  <c r="AH243" i="27"/>
  <c r="M243" i="27"/>
  <c r="F243" i="27"/>
  <c r="E243" i="27"/>
  <c r="AH242" i="27"/>
  <c r="Y242" i="27"/>
  <c r="Q242" i="27"/>
  <c r="F242" i="27"/>
  <c r="E242" i="27"/>
  <c r="AH241" i="27"/>
  <c r="I241" i="27"/>
  <c r="I239" i="27" s="1"/>
  <c r="F241" i="27"/>
  <c r="E241" i="27"/>
  <c r="AH240" i="27"/>
  <c r="U240" i="27"/>
  <c r="M240" i="27"/>
  <c r="F240" i="27"/>
  <c r="E240" i="27"/>
  <c r="AH239" i="27"/>
  <c r="AF239" i="27"/>
  <c r="AE239" i="27"/>
  <c r="AE238" i="27" s="1"/>
  <c r="AD239" i="27"/>
  <c r="AD238" i="27" s="1"/>
  <c r="AB239" i="27"/>
  <c r="AB238" i="27" s="1"/>
  <c r="AA239" i="27"/>
  <c r="AA238" i="27" s="1"/>
  <c r="Z239" i="27"/>
  <c r="Z238" i="27" s="1"/>
  <c r="X239" i="27"/>
  <c r="W239" i="27"/>
  <c r="W238" i="27" s="1"/>
  <c r="V239" i="27"/>
  <c r="V238" i="27" s="1"/>
  <c r="T239" i="27"/>
  <c r="T238" i="27" s="1"/>
  <c r="S239" i="27"/>
  <c r="S238" i="27" s="1"/>
  <c r="R239" i="27"/>
  <c r="R238" i="27" s="1"/>
  <c r="P239" i="27"/>
  <c r="P238" i="27" s="1"/>
  <c r="O239" i="27"/>
  <c r="O238" i="27" s="1"/>
  <c r="N239" i="27"/>
  <c r="N238" i="27" s="1"/>
  <c r="L239" i="27"/>
  <c r="K239" i="27"/>
  <c r="J239" i="27"/>
  <c r="AJ238" i="27"/>
  <c r="AI238" i="27"/>
  <c r="AH236" i="27"/>
  <c r="X236" i="27"/>
  <c r="G236" i="27" s="1"/>
  <c r="E236" i="27"/>
  <c r="AH235" i="27"/>
  <c r="AC235" i="27"/>
  <c r="Y235" i="27"/>
  <c r="U235" i="27"/>
  <c r="Q235" i="27"/>
  <c r="F235" i="27"/>
  <c r="E235" i="27"/>
  <c r="AH234" i="27"/>
  <c r="AC234" i="27"/>
  <c r="Y234" i="27"/>
  <c r="U234" i="27"/>
  <c r="M234" i="27"/>
  <c r="F234" i="27"/>
  <c r="E234" i="27"/>
  <c r="AK233" i="27"/>
  <c r="AJ233" i="27"/>
  <c r="AI233" i="27"/>
  <c r="AE233" i="27"/>
  <c r="AD233" i="27"/>
  <c r="AB233" i="27"/>
  <c r="AA233" i="27"/>
  <c r="Z233" i="27"/>
  <c r="V233" i="27"/>
  <c r="T233" i="27"/>
  <c r="S233" i="27"/>
  <c r="R233" i="27"/>
  <c r="P233" i="27"/>
  <c r="O233" i="27"/>
  <c r="N233" i="27"/>
  <c r="AH232" i="27"/>
  <c r="AC232" i="27"/>
  <c r="Y232" i="27"/>
  <c r="U232" i="27"/>
  <c r="Q232" i="27"/>
  <c r="D231" i="27"/>
  <c r="AK231" i="27"/>
  <c r="AH231" i="27" s="1"/>
  <c r="AF231" i="27"/>
  <c r="AE231" i="27"/>
  <c r="AD231" i="27"/>
  <c r="AB231" i="27"/>
  <c r="AA231" i="27"/>
  <c r="Z231" i="27"/>
  <c r="X231" i="27"/>
  <c r="W231" i="27"/>
  <c r="V231" i="27"/>
  <c r="T231" i="27"/>
  <c r="S231" i="27"/>
  <c r="R231" i="27"/>
  <c r="AH201" i="27"/>
  <c r="AC201" i="27"/>
  <c r="Y201" i="27"/>
  <c r="D201" i="27"/>
  <c r="F200" i="27"/>
  <c r="E200" i="27"/>
  <c r="U199" i="27"/>
  <c r="F199" i="27"/>
  <c r="E199" i="27"/>
  <c r="U198" i="27"/>
  <c r="F198" i="27"/>
  <c r="E198" i="27"/>
  <c r="U197" i="27"/>
  <c r="F197" i="27"/>
  <c r="E197" i="27"/>
  <c r="U196" i="27"/>
  <c r="F196" i="27"/>
  <c r="E196" i="27"/>
  <c r="U195" i="27"/>
  <c r="F195" i="27"/>
  <c r="E195" i="27"/>
  <c r="U194" i="27"/>
  <c r="F194" i="27"/>
  <c r="E194" i="27"/>
  <c r="AC193" i="27"/>
  <c r="Y193" i="27"/>
  <c r="U193" i="27"/>
  <c r="F193" i="27"/>
  <c r="E193" i="27"/>
  <c r="AC192" i="27"/>
  <c r="Y192" i="27"/>
  <c r="U192" i="27"/>
  <c r="F192" i="27"/>
  <c r="E192" i="27"/>
  <c r="AC191" i="27"/>
  <c r="Y191" i="27"/>
  <c r="U191" i="27"/>
  <c r="Q191" i="27"/>
  <c r="F191" i="27"/>
  <c r="E191" i="27"/>
  <c r="AC190" i="27"/>
  <c r="Y190" i="27"/>
  <c r="U190" i="27"/>
  <c r="Q190" i="27"/>
  <c r="F190" i="27"/>
  <c r="E190" i="27"/>
  <c r="AC189" i="27"/>
  <c r="Y189" i="27"/>
  <c r="X189" i="27"/>
  <c r="G189" i="27" s="1"/>
  <c r="Q189" i="27"/>
  <c r="F189" i="27"/>
  <c r="E189" i="27"/>
  <c r="AC188" i="27"/>
  <c r="Y188" i="27"/>
  <c r="U188" i="27"/>
  <c r="Q188" i="27"/>
  <c r="F188" i="27"/>
  <c r="E188" i="27"/>
  <c r="AC187" i="27"/>
  <c r="Y187" i="27"/>
  <c r="U187" i="27"/>
  <c r="Q187" i="27"/>
  <c r="F187" i="27"/>
  <c r="E187" i="27"/>
  <c r="AC186" i="27"/>
  <c r="Y186" i="27"/>
  <c r="U186" i="27"/>
  <c r="Q186" i="27"/>
  <c r="F186" i="27"/>
  <c r="E186" i="27"/>
  <c r="AC185" i="27"/>
  <c r="U185" i="27"/>
  <c r="Q185" i="27"/>
  <c r="F185" i="27"/>
  <c r="E185" i="27"/>
  <c r="M183" i="27"/>
  <c r="F183" i="27"/>
  <c r="E183" i="27"/>
  <c r="U182" i="27"/>
  <c r="F182" i="27"/>
  <c r="E182" i="27"/>
  <c r="U181" i="27"/>
  <c r="F181" i="27"/>
  <c r="E181" i="27"/>
  <c r="Y180" i="27"/>
  <c r="U180" i="27"/>
  <c r="F180" i="27"/>
  <c r="E180" i="27"/>
  <c r="U179" i="27"/>
  <c r="F179" i="27"/>
  <c r="E179" i="27"/>
  <c r="X178" i="27"/>
  <c r="G178" i="27" s="1"/>
  <c r="F178" i="27"/>
  <c r="E178" i="27"/>
  <c r="U177" i="27"/>
  <c r="Q177" i="27"/>
  <c r="F177" i="27"/>
  <c r="E177" i="27"/>
  <c r="U176" i="27"/>
  <c r="Q176" i="27"/>
  <c r="F176" i="27"/>
  <c r="E176" i="27"/>
  <c r="U175" i="27"/>
  <c r="Q175" i="27"/>
  <c r="F175" i="27"/>
  <c r="E175" i="27"/>
  <c r="AC174" i="27"/>
  <c r="X174" i="27"/>
  <c r="G174" i="27" s="1"/>
  <c r="Q174" i="27"/>
  <c r="F174" i="27"/>
  <c r="E174" i="27"/>
  <c r="Q173" i="27"/>
  <c r="F173" i="27"/>
  <c r="E173" i="27"/>
  <c r="Q172" i="27"/>
  <c r="Q171" i="27"/>
  <c r="F171" i="27"/>
  <c r="E171" i="27"/>
  <c r="Q170" i="27"/>
  <c r="F170" i="27"/>
  <c r="E170" i="27"/>
  <c r="U169" i="27"/>
  <c r="Q169" i="27"/>
  <c r="F169" i="27"/>
  <c r="E169" i="27"/>
  <c r="Q168" i="27"/>
  <c r="F168" i="27"/>
  <c r="E168" i="27"/>
  <c r="M167" i="27"/>
  <c r="F167" i="27"/>
  <c r="E167" i="27"/>
  <c r="M166" i="27"/>
  <c r="F166" i="27"/>
  <c r="E166" i="27"/>
  <c r="Q165" i="27"/>
  <c r="F165" i="27"/>
  <c r="E165" i="27"/>
  <c r="AA164" i="27"/>
  <c r="Z164" i="27"/>
  <c r="W164" i="27"/>
  <c r="V164" i="27"/>
  <c r="T164" i="27"/>
  <c r="S164" i="27"/>
  <c r="R164" i="27"/>
  <c r="P164" i="27"/>
  <c r="O164" i="27"/>
  <c r="N164" i="27"/>
  <c r="U163" i="27"/>
  <c r="Q162" i="27"/>
  <c r="F162" i="27"/>
  <c r="E162" i="27"/>
  <c r="Q160" i="27"/>
  <c r="F160" i="27"/>
  <c r="E160" i="27"/>
  <c r="Q159" i="27"/>
  <c r="F159" i="27"/>
  <c r="E159" i="27"/>
  <c r="U158" i="27"/>
  <c r="Q158" i="27"/>
  <c r="F158" i="27"/>
  <c r="E158" i="27"/>
  <c r="U157" i="27"/>
  <c r="Q157" i="27"/>
  <c r="M157" i="27"/>
  <c r="F157" i="27"/>
  <c r="E157" i="27"/>
  <c r="U156" i="27"/>
  <c r="T156" i="27"/>
  <c r="T155" i="27" s="1"/>
  <c r="S156" i="27"/>
  <c r="S155" i="27" s="1"/>
  <c r="R156" i="27"/>
  <c r="E156" i="27" s="1"/>
  <c r="P156" i="27"/>
  <c r="AK155" i="27"/>
  <c r="AK28" i="27" s="1"/>
  <c r="AJ155" i="27"/>
  <c r="AI155" i="27"/>
  <c r="AE155" i="27"/>
  <c r="AD155" i="27"/>
  <c r="AA155" i="27"/>
  <c r="Z155" i="27"/>
  <c r="X155" i="27"/>
  <c r="W155" i="27"/>
  <c r="V155" i="27"/>
  <c r="M155" i="27"/>
  <c r="Y148" i="27"/>
  <c r="F148" i="27"/>
  <c r="E148" i="27"/>
  <c r="Y147" i="27"/>
  <c r="F147" i="27"/>
  <c r="E147" i="27"/>
  <c r="Y146" i="27"/>
  <c r="F146" i="27"/>
  <c r="E146" i="27"/>
  <c r="Y145" i="27"/>
  <c r="U145" i="27"/>
  <c r="F145" i="27"/>
  <c r="E145" i="27"/>
  <c r="Y144" i="27"/>
  <c r="U144" i="27"/>
  <c r="Y143" i="27"/>
  <c r="U143" i="27"/>
  <c r="F143" i="27"/>
  <c r="E143" i="27"/>
  <c r="U142" i="27"/>
  <c r="F142" i="27"/>
  <c r="E142" i="27"/>
  <c r="Y141" i="27"/>
  <c r="U141" i="27"/>
  <c r="F141" i="27"/>
  <c r="E141" i="27"/>
  <c r="U140" i="27"/>
  <c r="F140" i="27"/>
  <c r="E140" i="27"/>
  <c r="Y139" i="27"/>
  <c r="U139" i="27"/>
  <c r="F139" i="27"/>
  <c r="E139" i="27"/>
  <c r="U138" i="27"/>
  <c r="F138" i="27"/>
  <c r="E138" i="27"/>
  <c r="U137" i="27"/>
  <c r="F137" i="27"/>
  <c r="E137" i="27"/>
  <c r="U136" i="27"/>
  <c r="F136" i="27"/>
  <c r="E136" i="27"/>
  <c r="U135" i="27"/>
  <c r="F135" i="27"/>
  <c r="E135" i="27"/>
  <c r="U134" i="27"/>
  <c r="F134" i="27"/>
  <c r="E134" i="27"/>
  <c r="U133" i="27"/>
  <c r="F133" i="27"/>
  <c r="E133" i="27"/>
  <c r="U132" i="27"/>
  <c r="F132" i="27"/>
  <c r="E132" i="27"/>
  <c r="U131" i="27"/>
  <c r="F131" i="27"/>
  <c r="E131" i="27"/>
  <c r="U130" i="27"/>
  <c r="F130" i="27"/>
  <c r="E130" i="27"/>
  <c r="U129" i="27"/>
  <c r="F129" i="27"/>
  <c r="E129" i="27"/>
  <c r="Y128" i="27"/>
  <c r="U128" i="27"/>
  <c r="F128" i="27"/>
  <c r="E128" i="27"/>
  <c r="U127" i="27"/>
  <c r="F127" i="27"/>
  <c r="E127" i="27"/>
  <c r="U126" i="27"/>
  <c r="F126" i="27"/>
  <c r="E126" i="27"/>
  <c r="U125" i="27"/>
  <c r="F125" i="27"/>
  <c r="E125" i="27"/>
  <c r="AC124" i="27"/>
  <c r="Y124" i="27"/>
  <c r="U124" i="27"/>
  <c r="F124" i="27"/>
  <c r="E124" i="27"/>
  <c r="AC123" i="27"/>
  <c r="Y123" i="27"/>
  <c r="U123" i="27"/>
  <c r="Q123" i="27"/>
  <c r="F123" i="27"/>
  <c r="E123" i="27"/>
  <c r="Q122" i="27"/>
  <c r="D122" i="27"/>
  <c r="Q121" i="27"/>
  <c r="F121" i="27"/>
  <c r="E121" i="27"/>
  <c r="Q120" i="27"/>
  <c r="F120" i="27"/>
  <c r="E120" i="27"/>
  <c r="Q119" i="27"/>
  <c r="F119" i="27"/>
  <c r="E119" i="27"/>
  <c r="Q118" i="27"/>
  <c r="F118" i="27"/>
  <c r="E118" i="27"/>
  <c r="U117" i="27"/>
  <c r="Q117" i="27"/>
  <c r="F117" i="27"/>
  <c r="E117" i="27"/>
  <c r="U116" i="27"/>
  <c r="Q116" i="27"/>
  <c r="F116" i="27"/>
  <c r="E116" i="27"/>
  <c r="U115" i="27"/>
  <c r="Q115" i="27"/>
  <c r="F115" i="27"/>
  <c r="E115" i="27"/>
  <c r="U114" i="27"/>
  <c r="Q114" i="27"/>
  <c r="F114" i="27"/>
  <c r="E114" i="27"/>
  <c r="Q113" i="27"/>
  <c r="F113" i="27"/>
  <c r="E113" i="27"/>
  <c r="Q112" i="27"/>
  <c r="F112" i="27"/>
  <c r="E112" i="27"/>
  <c r="Q111" i="27"/>
  <c r="F111" i="27"/>
  <c r="E111" i="27"/>
  <c r="Q110" i="27"/>
  <c r="F110" i="27"/>
  <c r="E110" i="27"/>
  <c r="Q109" i="27"/>
  <c r="F109" i="27"/>
  <c r="E109" i="27"/>
  <c r="Q108" i="27"/>
  <c r="F108" i="27"/>
  <c r="E108" i="27"/>
  <c r="Q107" i="27"/>
  <c r="F107" i="27"/>
  <c r="E107" i="27"/>
  <c r="M106" i="27"/>
  <c r="F106" i="27"/>
  <c r="E106" i="27"/>
  <c r="M105" i="27"/>
  <c r="F105" i="27"/>
  <c r="E105" i="27"/>
  <c r="Y104" i="27"/>
  <c r="Q104" i="27"/>
  <c r="F104" i="27"/>
  <c r="E104" i="27"/>
  <c r="M103" i="27"/>
  <c r="F103" i="27"/>
  <c r="E103" i="27"/>
  <c r="M102" i="27"/>
  <c r="F102" i="27"/>
  <c r="E102" i="27"/>
  <c r="M101" i="27"/>
  <c r="F101" i="27"/>
  <c r="E101" i="27"/>
  <c r="M100" i="27"/>
  <c r="F100" i="27"/>
  <c r="E100" i="27"/>
  <c r="M99" i="27"/>
  <c r="F99" i="27"/>
  <c r="E99" i="27"/>
  <c r="L98" i="27"/>
  <c r="G98" i="27" s="1"/>
  <c r="I97" i="27"/>
  <c r="I96" i="27"/>
  <c r="Q95" i="27"/>
  <c r="I95" i="27"/>
  <c r="I94" i="27"/>
  <c r="M93" i="27"/>
  <c r="I93" i="27"/>
  <c r="Y92" i="27"/>
  <c r="X66" i="27"/>
  <c r="U92" i="27"/>
  <c r="Q92" i="27"/>
  <c r="M92" i="27"/>
  <c r="I92" i="27"/>
  <c r="U91" i="27"/>
  <c r="M91" i="27"/>
  <c r="E91" i="27"/>
  <c r="M90" i="27"/>
  <c r="M89" i="27"/>
  <c r="M88" i="27"/>
  <c r="F88" i="27"/>
  <c r="E88" i="27"/>
  <c r="M87" i="27"/>
  <c r="I87" i="27"/>
  <c r="F87" i="27"/>
  <c r="E87" i="27"/>
  <c r="Q86" i="27"/>
  <c r="I86" i="27"/>
  <c r="F86" i="27"/>
  <c r="E86" i="27"/>
  <c r="Q85" i="27"/>
  <c r="I85" i="27"/>
  <c r="Q84" i="27"/>
  <c r="I84" i="27"/>
  <c r="F84" i="27"/>
  <c r="E84" i="27"/>
  <c r="M83" i="27"/>
  <c r="L83" i="27"/>
  <c r="G83" i="27" s="1"/>
  <c r="F83" i="27"/>
  <c r="E83" i="27"/>
  <c r="Q82" i="27"/>
  <c r="M82" i="27"/>
  <c r="F82" i="27"/>
  <c r="E82" i="27"/>
  <c r="M81" i="27"/>
  <c r="I81" i="27"/>
  <c r="F81" i="27"/>
  <c r="E81" i="27"/>
  <c r="Q80" i="27"/>
  <c r="M80" i="27"/>
  <c r="F80" i="27"/>
  <c r="E80" i="27"/>
  <c r="U79" i="27"/>
  <c r="Q79" i="27"/>
  <c r="M79" i="27"/>
  <c r="F79" i="27"/>
  <c r="E79" i="27"/>
  <c r="M78" i="27"/>
  <c r="I78" i="27"/>
  <c r="F78" i="27"/>
  <c r="E78" i="27"/>
  <c r="M77" i="27"/>
  <c r="F77" i="27"/>
  <c r="E77" i="27"/>
  <c r="Q76" i="27"/>
  <c r="M76" i="27"/>
  <c r="F76" i="27"/>
  <c r="E76" i="27"/>
  <c r="M75" i="27"/>
  <c r="F75" i="27"/>
  <c r="E75" i="27"/>
  <c r="F74" i="27"/>
  <c r="E74" i="27"/>
  <c r="I73" i="27"/>
  <c r="F73" i="27"/>
  <c r="E73" i="27"/>
  <c r="Q72" i="27"/>
  <c r="F72" i="27"/>
  <c r="E72" i="27"/>
  <c r="M71" i="27"/>
  <c r="F71" i="27"/>
  <c r="E71" i="27"/>
  <c r="M70" i="27"/>
  <c r="F70" i="27"/>
  <c r="E70" i="27"/>
  <c r="L69" i="27"/>
  <c r="G69" i="27" s="1"/>
  <c r="F69" i="27"/>
  <c r="E69" i="27"/>
  <c r="I68" i="27"/>
  <c r="F68" i="27"/>
  <c r="E68" i="27"/>
  <c r="L67" i="27"/>
  <c r="F67" i="27"/>
  <c r="E67" i="27"/>
  <c r="AJ66" i="27"/>
  <c r="AI66" i="27"/>
  <c r="AE66" i="27"/>
  <c r="AD66" i="27"/>
  <c r="AA66" i="27"/>
  <c r="Z66" i="27"/>
  <c r="W66" i="27"/>
  <c r="V66" i="27"/>
  <c r="T66" i="27"/>
  <c r="S66" i="27"/>
  <c r="R66" i="27"/>
  <c r="P66" i="27"/>
  <c r="O66" i="27"/>
  <c r="N66" i="27"/>
  <c r="K66" i="27"/>
  <c r="J66" i="27"/>
  <c r="AC58" i="27"/>
  <c r="Y58" i="27"/>
  <c r="U58" i="27"/>
  <c r="F58" i="27"/>
  <c r="E58" i="27"/>
  <c r="AC57" i="27"/>
  <c r="Y57" i="27"/>
  <c r="U57" i="27"/>
  <c r="Q57" i="27"/>
  <c r="F57" i="27"/>
  <c r="E57" i="27"/>
  <c r="AC56" i="27"/>
  <c r="Y56" i="27"/>
  <c r="U56" i="27"/>
  <c r="Q56" i="27"/>
  <c r="F56" i="27"/>
  <c r="E56" i="27"/>
  <c r="AC55" i="27"/>
  <c r="Y55" i="27"/>
  <c r="U55" i="27"/>
  <c r="Q55" i="27"/>
  <c r="F55" i="27"/>
  <c r="E55" i="27"/>
  <c r="AC54" i="27"/>
  <c r="Y54" i="27"/>
  <c r="U54" i="27"/>
  <c r="Q54" i="27"/>
  <c r="F54" i="27"/>
  <c r="E54" i="27"/>
  <c r="AC53" i="27"/>
  <c r="Y53" i="27"/>
  <c r="U53" i="27"/>
  <c r="Q53" i="27"/>
  <c r="F53" i="27"/>
  <c r="E53" i="27"/>
  <c r="AC52" i="27"/>
  <c r="Y52" i="27"/>
  <c r="U52" i="27"/>
  <c r="Q52" i="27"/>
  <c r="M52" i="27"/>
  <c r="F52" i="27"/>
  <c r="E52" i="27"/>
  <c r="AC51" i="27"/>
  <c r="Y51" i="27"/>
  <c r="U51" i="27"/>
  <c r="Q51" i="27"/>
  <c r="M51" i="27"/>
  <c r="F51" i="27"/>
  <c r="E51" i="27"/>
  <c r="AC50" i="27"/>
  <c r="Y50" i="27"/>
  <c r="U50" i="27"/>
  <c r="Q50" i="27"/>
  <c r="M50" i="27"/>
  <c r="F50" i="27"/>
  <c r="E50" i="27"/>
  <c r="AC49" i="27"/>
  <c r="Y49" i="27"/>
  <c r="U49" i="27"/>
  <c r="Q49" i="27"/>
  <c r="M49" i="27"/>
  <c r="F49" i="27"/>
  <c r="E49" i="27"/>
  <c r="AC48" i="27"/>
  <c r="Y48" i="27"/>
  <c r="U48" i="27"/>
  <c r="Q48" i="27"/>
  <c r="M48" i="27"/>
  <c r="F48" i="27"/>
  <c r="E48" i="27"/>
  <c r="AC47" i="27"/>
  <c r="Y47" i="27"/>
  <c r="U47" i="27"/>
  <c r="Q47" i="27"/>
  <c r="M47" i="27"/>
  <c r="F47" i="27"/>
  <c r="E47" i="27"/>
  <c r="AC46" i="27"/>
  <c r="Y46" i="27"/>
  <c r="U46" i="27"/>
  <c r="Q46" i="27"/>
  <c r="M46" i="27"/>
  <c r="F46" i="27"/>
  <c r="E46" i="27"/>
  <c r="AC45" i="27"/>
  <c r="Y45" i="27"/>
  <c r="U45" i="27"/>
  <c r="Q45" i="27"/>
  <c r="M45" i="27"/>
  <c r="F45" i="27"/>
  <c r="E45" i="27"/>
  <c r="AC44" i="27"/>
  <c r="Y44" i="27"/>
  <c r="U44" i="27"/>
  <c r="Q44" i="27"/>
  <c r="M44" i="27"/>
  <c r="F44" i="27"/>
  <c r="E44" i="27"/>
  <c r="AC43" i="27"/>
  <c r="Y43" i="27"/>
  <c r="U43" i="27"/>
  <c r="Q43" i="27"/>
  <c r="M43" i="27"/>
  <c r="F43" i="27"/>
  <c r="E43" i="27"/>
  <c r="AC42" i="27"/>
  <c r="Y42" i="27"/>
  <c r="U42" i="27"/>
  <c r="Q42" i="27"/>
  <c r="M42" i="27"/>
  <c r="F42" i="27"/>
  <c r="E42" i="27"/>
  <c r="AC41" i="27"/>
  <c r="Y41" i="27"/>
  <c r="U41" i="27"/>
  <c r="Q41" i="27"/>
  <c r="M41" i="27"/>
  <c r="I41" i="27"/>
  <c r="F41" i="27"/>
  <c r="E41" i="27"/>
  <c r="AC40" i="27"/>
  <c r="Y40" i="27"/>
  <c r="U40" i="27"/>
  <c r="Q40" i="27"/>
  <c r="M40" i="27"/>
  <c r="I40" i="27"/>
  <c r="F40" i="27"/>
  <c r="E40" i="27"/>
  <c r="AC39" i="27"/>
  <c r="Y39" i="27"/>
  <c r="U39" i="27"/>
  <c r="Q39" i="27"/>
  <c r="M39" i="27"/>
  <c r="I39" i="27"/>
  <c r="F39" i="27"/>
  <c r="E39" i="27"/>
  <c r="AC38" i="27"/>
  <c r="Y38" i="27"/>
  <c r="U38" i="27"/>
  <c r="Q38" i="27"/>
  <c r="M38" i="27"/>
  <c r="F38" i="27"/>
  <c r="E38" i="27"/>
  <c r="AC37" i="27"/>
  <c r="Y37" i="27"/>
  <c r="U37" i="27"/>
  <c r="Q37" i="27"/>
  <c r="M37" i="27"/>
  <c r="F37" i="27"/>
  <c r="E37" i="27"/>
  <c r="AC36" i="27"/>
  <c r="Y36" i="27"/>
  <c r="U36" i="27"/>
  <c r="Q36" i="27"/>
  <c r="M36" i="27"/>
  <c r="F36" i="27"/>
  <c r="E36" i="27"/>
  <c r="AC35" i="27"/>
  <c r="Y35" i="27"/>
  <c r="U35" i="27"/>
  <c r="Q35" i="27"/>
  <c r="O35" i="27"/>
  <c r="O29" i="27" s="1"/>
  <c r="E35" i="27"/>
  <c r="AC34" i="27"/>
  <c r="Y34" i="27"/>
  <c r="U34" i="27"/>
  <c r="Q34" i="27"/>
  <c r="M34" i="27"/>
  <c r="F34" i="27"/>
  <c r="E34" i="27"/>
  <c r="AC33" i="27"/>
  <c r="Y33" i="27"/>
  <c r="U33" i="27"/>
  <c r="Q33" i="27"/>
  <c r="M33" i="27"/>
  <c r="F33" i="27"/>
  <c r="E33" i="27"/>
  <c r="AC32" i="27"/>
  <c r="Y32" i="27"/>
  <c r="U32" i="27"/>
  <c r="Q32" i="27"/>
  <c r="M32" i="27"/>
  <c r="F32" i="27"/>
  <c r="E32" i="27"/>
  <c r="AC31" i="27"/>
  <c r="Y31" i="27"/>
  <c r="U31" i="27"/>
  <c r="Q31" i="27"/>
  <c r="M31" i="27"/>
  <c r="AC30" i="27"/>
  <c r="Y30" i="27"/>
  <c r="U30" i="27"/>
  <c r="Q30" i="27"/>
  <c r="M30" i="27"/>
  <c r="AE29" i="27"/>
  <c r="AD29" i="27"/>
  <c r="AA29" i="27"/>
  <c r="Z29" i="27"/>
  <c r="X29" i="27"/>
  <c r="W29" i="27"/>
  <c r="V29" i="27"/>
  <c r="T29" i="27"/>
  <c r="S29" i="27"/>
  <c r="R29" i="27"/>
  <c r="P29" i="27"/>
  <c r="N29" i="27"/>
  <c r="L29" i="27"/>
  <c r="K29" i="27"/>
  <c r="J29" i="27"/>
  <c r="Y18" i="27"/>
  <c r="AH17" i="27"/>
  <c r="Y17" i="27"/>
  <c r="Q17" i="27"/>
  <c r="F17" i="27"/>
  <c r="E17" i="27"/>
  <c r="AH16" i="27"/>
  <c r="AC16" i="27"/>
  <c r="Y16" i="27"/>
  <c r="U16" i="27"/>
  <c r="Q16" i="27"/>
  <c r="F16" i="27"/>
  <c r="E16" i="27"/>
  <c r="AH15" i="27"/>
  <c r="AC15" i="27"/>
  <c r="Y15" i="27"/>
  <c r="U15" i="27"/>
  <c r="Q15" i="27"/>
  <c r="F15" i="27"/>
  <c r="E15" i="27"/>
  <c r="AH14" i="27"/>
  <c r="AC14" i="27"/>
  <c r="Y14" i="27"/>
  <c r="U14" i="27"/>
  <c r="Q14" i="27"/>
  <c r="F14" i="27"/>
  <c r="E14" i="27"/>
  <c r="AH13" i="27"/>
  <c r="AC13" i="27"/>
  <c r="Y13" i="27"/>
  <c r="U13" i="27"/>
  <c r="M13" i="27"/>
  <c r="I13" i="27"/>
  <c r="F13" i="27"/>
  <c r="E13" i="27"/>
  <c r="AH12" i="27"/>
  <c r="AC12" i="27"/>
  <c r="Y12" i="27"/>
  <c r="U12" i="27"/>
  <c r="Q12" i="27"/>
  <c r="M12" i="27"/>
  <c r="I12" i="27"/>
  <c r="F12" i="27"/>
  <c r="E12" i="27"/>
  <c r="AH11" i="27"/>
  <c r="AC11" i="27"/>
  <c r="Y11" i="27"/>
  <c r="Q11" i="27"/>
  <c r="I11" i="27"/>
  <c r="F11" i="27"/>
  <c r="E11" i="27"/>
  <c r="AH10" i="27"/>
  <c r="AC10" i="27"/>
  <c r="Y10" i="27"/>
  <c r="U10" i="27"/>
  <c r="Q10" i="27"/>
  <c r="M10" i="27"/>
  <c r="I10" i="27"/>
  <c r="F10" i="27"/>
  <c r="AH9" i="27"/>
  <c r="AC9" i="27"/>
  <c r="Y9" i="27"/>
  <c r="U9" i="27"/>
  <c r="Q9" i="27"/>
  <c r="M9" i="27"/>
  <c r="I9" i="27"/>
  <c r="F9" i="27"/>
  <c r="E9" i="27"/>
  <c r="AF7" i="27"/>
  <c r="AE7" i="27"/>
  <c r="AD8" i="27"/>
  <c r="AD7" i="27" s="1"/>
  <c r="AB7" i="27"/>
  <c r="AA8" i="27"/>
  <c r="AA7" i="27" s="1"/>
  <c r="Z8" i="27"/>
  <c r="Z7" i="27" s="1"/>
  <c r="X8" i="27"/>
  <c r="X7" i="27" s="1"/>
  <c r="W8" i="27"/>
  <c r="W7" i="27" s="1"/>
  <c r="V8" i="27"/>
  <c r="V7" i="27" s="1"/>
  <c r="T8" i="27"/>
  <c r="T7" i="27" s="1"/>
  <c r="S8" i="27"/>
  <c r="S7" i="27" s="1"/>
  <c r="R8" i="27"/>
  <c r="P8" i="27"/>
  <c r="P7" i="27" s="1"/>
  <c r="O8" i="27"/>
  <c r="O7" i="27" s="1"/>
  <c r="N8" i="27"/>
  <c r="N7" i="27" s="1"/>
  <c r="L8" i="27"/>
  <c r="K8" i="27"/>
  <c r="J8" i="27"/>
  <c r="D32" i="27" l="1"/>
  <c r="D39" i="27"/>
  <c r="D40" i="27"/>
  <c r="D41" i="27"/>
  <c r="D42" i="27"/>
  <c r="D46" i="27"/>
  <c r="D50" i="27"/>
  <c r="D128" i="27"/>
  <c r="D129" i="27"/>
  <c r="D133" i="27"/>
  <c r="D137" i="27"/>
  <c r="D143" i="27"/>
  <c r="D148" i="27"/>
  <c r="D158" i="27"/>
  <c r="D159" i="27"/>
  <c r="D11" i="27"/>
  <c r="D13" i="27"/>
  <c r="D14" i="27"/>
  <c r="D48" i="27"/>
  <c r="D52" i="27"/>
  <c r="D124" i="27"/>
  <c r="D126" i="27"/>
  <c r="D131" i="27"/>
  <c r="D135" i="27"/>
  <c r="D139" i="27"/>
  <c r="D140" i="27"/>
  <c r="E155" i="27"/>
  <c r="D162" i="27"/>
  <c r="D9" i="27"/>
  <c r="D16" i="27"/>
  <c r="D34" i="27"/>
  <c r="D37" i="27"/>
  <c r="D44" i="27"/>
  <c r="D145" i="27"/>
  <c r="D146" i="27"/>
  <c r="L238" i="27"/>
  <c r="G239" i="27"/>
  <c r="G254" i="27"/>
  <c r="E66" i="27"/>
  <c r="I67" i="27"/>
  <c r="G67" i="27"/>
  <c r="D67" i="27" s="1"/>
  <c r="F155" i="27"/>
  <c r="M156" i="27"/>
  <c r="G156" i="27"/>
  <c r="E8" i="27"/>
  <c r="F8" i="27"/>
  <c r="G8" i="27"/>
  <c r="G29" i="27"/>
  <c r="F66" i="27"/>
  <c r="G155" i="27"/>
  <c r="D10" i="27"/>
  <c r="D12" i="27"/>
  <c r="D15" i="27"/>
  <c r="D33" i="27"/>
  <c r="D36" i="27"/>
  <c r="D43" i="27"/>
  <c r="D47" i="27"/>
  <c r="D51" i="27"/>
  <c r="D54" i="27"/>
  <c r="D56" i="27"/>
  <c r="D58" i="27"/>
  <c r="D125" i="27"/>
  <c r="D130" i="27"/>
  <c r="D134" i="27"/>
  <c r="D138" i="27"/>
  <c r="D157" i="27"/>
  <c r="D160" i="27"/>
  <c r="D17" i="27"/>
  <c r="D38" i="27"/>
  <c r="D45" i="27"/>
  <c r="D49" i="27"/>
  <c r="D53" i="27"/>
  <c r="D55" i="27"/>
  <c r="D57" i="27"/>
  <c r="D127" i="27"/>
  <c r="D132" i="27"/>
  <c r="D136" i="27"/>
  <c r="D141" i="27"/>
  <c r="D142" i="27"/>
  <c r="D147" i="27"/>
  <c r="W233" i="27"/>
  <c r="W27" i="27" s="1"/>
  <c r="W6" i="27" s="1"/>
  <c r="X233" i="27"/>
  <c r="G233" i="27" s="1"/>
  <c r="AD28" i="27"/>
  <c r="AE28" i="27"/>
  <c r="AH66" i="27"/>
  <c r="F164" i="27"/>
  <c r="E233" i="27"/>
  <c r="E239" i="27"/>
  <c r="F29" i="27"/>
  <c r="AC255" i="27"/>
  <c r="AC254" i="27"/>
  <c r="K7" i="27"/>
  <c r="F7" i="27" s="1"/>
  <c r="E29" i="27"/>
  <c r="E164" i="27"/>
  <c r="K238" i="27"/>
  <c r="F238" i="27" s="1"/>
  <c r="F239" i="27"/>
  <c r="J7" i="27"/>
  <c r="Y155" i="27"/>
  <c r="M164" i="27"/>
  <c r="Y238" i="27"/>
  <c r="AC164" i="27"/>
  <c r="D252" i="27"/>
  <c r="M233" i="27"/>
  <c r="AC233" i="27"/>
  <c r="AA28" i="27"/>
  <c r="M8" i="27"/>
  <c r="M7" i="27" s="1"/>
  <c r="AC66" i="27"/>
  <c r="I238" i="27"/>
  <c r="D232" i="27"/>
  <c r="Q156" i="27"/>
  <c r="U231" i="27"/>
  <c r="D241" i="27"/>
  <c r="I98" i="27"/>
  <c r="J238" i="27"/>
  <c r="E238" i="27" s="1"/>
  <c r="U239" i="27"/>
  <c r="U238" i="27" s="1"/>
  <c r="Y164" i="27"/>
  <c r="L7" i="27"/>
  <c r="G7" i="27" s="1"/>
  <c r="AA27" i="27"/>
  <c r="AA6" i="27" s="1"/>
  <c r="I29" i="27"/>
  <c r="Q29" i="27"/>
  <c r="M35" i="27"/>
  <c r="M29" i="27" s="1"/>
  <c r="F156" i="27"/>
  <c r="X164" i="27"/>
  <c r="G164" i="27" s="1"/>
  <c r="M239" i="27"/>
  <c r="M238" i="27" s="1"/>
  <c r="AH238" i="27"/>
  <c r="AH255" i="27"/>
  <c r="U29" i="27"/>
  <c r="D110" i="27"/>
  <c r="AC239" i="27"/>
  <c r="D243" i="27"/>
  <c r="D247" i="27"/>
  <c r="W28" i="27"/>
  <c r="D88" i="27"/>
  <c r="D109" i="27"/>
  <c r="D175" i="27"/>
  <c r="D177" i="27"/>
  <c r="D72" i="27"/>
  <c r="D78" i="27"/>
  <c r="D111" i="27"/>
  <c r="D121" i="27"/>
  <c r="D199" i="27"/>
  <c r="D74" i="27"/>
  <c r="D96" i="27"/>
  <c r="D117" i="27"/>
  <c r="D169" i="27"/>
  <c r="D170" i="27"/>
  <c r="D172" i="27"/>
  <c r="D70" i="27"/>
  <c r="D84" i="27"/>
  <c r="D86" i="27"/>
  <c r="D87" i="27"/>
  <c r="D115" i="27"/>
  <c r="D179" i="27"/>
  <c r="D182" i="27"/>
  <c r="D185" i="27"/>
  <c r="D191" i="27"/>
  <c r="D195" i="27"/>
  <c r="D197" i="27"/>
  <c r="D91" i="27"/>
  <c r="D103" i="27"/>
  <c r="D112" i="27"/>
  <c r="D168" i="27"/>
  <c r="D249" i="27"/>
  <c r="O28" i="27"/>
  <c r="O27" i="27"/>
  <c r="L66" i="27"/>
  <c r="D95" i="27"/>
  <c r="D106" i="27"/>
  <c r="D108" i="27"/>
  <c r="D118" i="27"/>
  <c r="D120" i="27"/>
  <c r="AH155" i="27"/>
  <c r="Y239" i="27"/>
  <c r="Q239" i="27"/>
  <c r="Q238" i="27" s="1"/>
  <c r="Q8" i="27"/>
  <c r="Q7" i="27" s="1"/>
  <c r="K28" i="27"/>
  <c r="F35" i="27"/>
  <c r="D35" i="27" s="1"/>
  <c r="D69" i="27"/>
  <c r="D71" i="27"/>
  <c r="D76" i="27"/>
  <c r="D79" i="27"/>
  <c r="D90" i="27"/>
  <c r="D92" i="27"/>
  <c r="D102" i="27"/>
  <c r="D116" i="27"/>
  <c r="AE27" i="27"/>
  <c r="AE6" i="27" s="1"/>
  <c r="D165" i="27"/>
  <c r="D167" i="27"/>
  <c r="D178" i="27"/>
  <c r="D180" i="27"/>
  <c r="D187" i="27"/>
  <c r="D193" i="27"/>
  <c r="AC231" i="27"/>
  <c r="X238" i="27"/>
  <c r="AF238" i="27"/>
  <c r="D251" i="27"/>
  <c r="AC7" i="27"/>
  <c r="I8" i="27"/>
  <c r="I7" i="27" s="1"/>
  <c r="D85" i="27"/>
  <c r="S28" i="27"/>
  <c r="Q164" i="27"/>
  <c r="D188" i="27"/>
  <c r="Q231" i="27"/>
  <c r="AC8" i="27"/>
  <c r="I69" i="27"/>
  <c r="D75" i="27"/>
  <c r="D77" i="27"/>
  <c r="D80" i="27"/>
  <c r="D98" i="27"/>
  <c r="D99" i="27"/>
  <c r="D101" i="27"/>
  <c r="D104" i="27"/>
  <c r="D114" i="27"/>
  <c r="D176" i="27"/>
  <c r="U178" i="27"/>
  <c r="D186" i="27"/>
  <c r="D192" i="27"/>
  <c r="D198" i="27"/>
  <c r="Y231" i="27"/>
  <c r="AH233" i="27"/>
  <c r="D235" i="27"/>
  <c r="D242" i="27"/>
  <c r="D246" i="27"/>
  <c r="D248" i="27"/>
  <c r="U236" i="27"/>
  <c r="D236" i="27"/>
  <c r="Y29" i="27"/>
  <c r="Z28" i="27"/>
  <c r="Z27" i="27"/>
  <c r="AK27" i="27"/>
  <c r="AK6" i="27" s="1"/>
  <c r="J28" i="27"/>
  <c r="Y7" i="27"/>
  <c r="S27" i="27"/>
  <c r="S6" i="27" s="1"/>
  <c r="AJ27" i="27"/>
  <c r="AJ6" i="27" s="1"/>
  <c r="AJ28" i="27"/>
  <c r="AB28" i="27"/>
  <c r="AB27" i="27"/>
  <c r="AH29" i="27"/>
  <c r="AI28" i="27"/>
  <c r="AI27" i="27"/>
  <c r="Q66" i="27"/>
  <c r="R28" i="27"/>
  <c r="R27" i="27"/>
  <c r="Y66" i="27"/>
  <c r="D68" i="27"/>
  <c r="I83" i="27"/>
  <c r="D83" i="27"/>
  <c r="D97" i="27"/>
  <c r="D107" i="27"/>
  <c r="U155" i="27"/>
  <c r="AC155" i="27"/>
  <c r="D183" i="27"/>
  <c r="U189" i="27"/>
  <c r="D189" i="27"/>
  <c r="Q233" i="27"/>
  <c r="T28" i="27"/>
  <c r="T27" i="27"/>
  <c r="T6" i="27" s="1"/>
  <c r="Q155" i="27"/>
  <c r="Y8" i="27"/>
  <c r="R7" i="27"/>
  <c r="AI7" i="27"/>
  <c r="U8" i="27"/>
  <c r="U7" i="27" s="1"/>
  <c r="D82" i="27"/>
  <c r="D93" i="27"/>
  <c r="D100" i="27"/>
  <c r="D119" i="27"/>
  <c r="D123" i="27"/>
  <c r="D173" i="27"/>
  <c r="D174" i="27"/>
  <c r="U174" i="27"/>
  <c r="D194" i="27"/>
  <c r="U200" i="27"/>
  <c r="D200" i="27"/>
  <c r="Y233" i="27"/>
  <c r="D240" i="27"/>
  <c r="D244" i="27"/>
  <c r="AF28" i="27"/>
  <c r="D30" i="27"/>
  <c r="P28" i="27"/>
  <c r="P27" i="27"/>
  <c r="U66" i="27"/>
  <c r="V28" i="27"/>
  <c r="V27" i="27"/>
  <c r="D73" i="27"/>
  <c r="D81" i="27"/>
  <c r="D89" i="27"/>
  <c r="D94" i="27"/>
  <c r="D105" i="27"/>
  <c r="D113" i="27"/>
  <c r="D166" i="27"/>
  <c r="D171" i="27"/>
  <c r="D181" i="27"/>
  <c r="D190" i="27"/>
  <c r="D196" i="27"/>
  <c r="D234" i="27"/>
  <c r="D245" i="27"/>
  <c r="AC29" i="27"/>
  <c r="AD27" i="27"/>
  <c r="N28" i="27"/>
  <c r="N27" i="27"/>
  <c r="M66" i="27"/>
  <c r="D257" i="27"/>
  <c r="D256" i="27" s="1"/>
  <c r="E256" i="27"/>
  <c r="E255" i="27" s="1"/>
  <c r="D255" i="27" s="1"/>
  <c r="L28" i="27" l="1"/>
  <c r="I28" i="27" s="1"/>
  <c r="G66" i="27"/>
  <c r="D66" i="27" s="1"/>
  <c r="E7" i="27"/>
  <c r="G238" i="27"/>
  <c r="D238" i="27" s="1"/>
  <c r="F233" i="27"/>
  <c r="D233" i="27" s="1"/>
  <c r="U233" i="27"/>
  <c r="F28" i="27"/>
  <c r="K27" i="27"/>
  <c r="F6" i="27" s="1"/>
  <c r="E28" i="27"/>
  <c r="AH254" i="27"/>
  <c r="F254" i="27"/>
  <c r="L27" i="27"/>
  <c r="AC238" i="27"/>
  <c r="D156" i="27"/>
  <c r="M28" i="27"/>
  <c r="D239" i="27"/>
  <c r="D155" i="27"/>
  <c r="J27" i="27"/>
  <c r="AF27" i="27"/>
  <c r="D8" i="27"/>
  <c r="D7" i="27" s="1"/>
  <c r="D164" i="27"/>
  <c r="AC28" i="27"/>
  <c r="M27" i="27"/>
  <c r="M6" i="27" s="1"/>
  <c r="I66" i="27"/>
  <c r="I27" i="27" s="1"/>
  <c r="I6" i="27" s="1"/>
  <c r="AH27" i="27"/>
  <c r="Y27" i="27"/>
  <c r="X28" i="27"/>
  <c r="U28" i="27" s="1"/>
  <c r="U164" i="27"/>
  <c r="X27" i="27"/>
  <c r="X6" i="27" s="1"/>
  <c r="AH7" i="27"/>
  <c r="Q6" i="27"/>
  <c r="Q28" i="27"/>
  <c r="AH28" i="27"/>
  <c r="Y6" i="27"/>
  <c r="Q27" i="27"/>
  <c r="Y28" i="27"/>
  <c r="D29" i="27"/>
  <c r="G6" i="27" l="1"/>
  <c r="D6" i="27" s="1"/>
  <c r="G27" i="27"/>
  <c r="G28" i="27"/>
  <c r="D28" i="27" s="1"/>
  <c r="AH6" i="27"/>
  <c r="F27" i="27"/>
  <c r="U27" i="27"/>
  <c r="D254" i="27"/>
  <c r="E27" i="27"/>
  <c r="AC27" i="27"/>
  <c r="U6" i="27"/>
  <c r="AC6" i="27" l="1"/>
  <c r="D27" i="27"/>
  <c r="AI67" i="22"/>
  <c r="AE67" i="22"/>
  <c r="Y67" i="22"/>
  <c r="AI64" i="22"/>
  <c r="AE64" i="22"/>
  <c r="Y64" i="22"/>
  <c r="U64" i="22"/>
  <c r="AI63" i="22"/>
  <c r="AE63" i="22"/>
  <c r="Y63" i="22"/>
  <c r="U63" i="22"/>
  <c r="AI59" i="22"/>
  <c r="AE59" i="22"/>
  <c r="Y59" i="22"/>
  <c r="U59" i="22"/>
  <c r="Q59" i="22"/>
  <c r="AI58" i="22"/>
  <c r="AE58" i="22"/>
  <c r="Y58" i="22"/>
  <c r="U58" i="22"/>
  <c r="Q58" i="22"/>
  <c r="I58" i="22"/>
  <c r="AI57" i="22"/>
  <c r="U57" i="22"/>
  <c r="AI56" i="22"/>
  <c r="AE56" i="22"/>
  <c r="Y56" i="22"/>
  <c r="U56" i="22"/>
  <c r="Q56" i="22"/>
  <c r="I56" i="22"/>
  <c r="AI55" i="22"/>
  <c r="AH55" i="22"/>
  <c r="AH53" i="22" s="1"/>
  <c r="AG55" i="22"/>
  <c r="AG53" i="22" s="1"/>
  <c r="AF55" i="22"/>
  <c r="AF53" i="22" s="1"/>
  <c r="AA55" i="22"/>
  <c r="AA53" i="22" s="1"/>
  <c r="X53" i="22"/>
  <c r="W55" i="22"/>
  <c r="W53" i="22" s="1"/>
  <c r="V55" i="22"/>
  <c r="V53" i="22" s="1"/>
  <c r="T55" i="22"/>
  <c r="T53" i="22" s="1"/>
  <c r="S55" i="22"/>
  <c r="S53" i="22" s="1"/>
  <c r="R55" i="22"/>
  <c r="R53" i="22" s="1"/>
  <c r="P55" i="22"/>
  <c r="P53" i="22" s="1"/>
  <c r="O55" i="22"/>
  <c r="O53" i="22" s="1"/>
  <c r="N55" i="22"/>
  <c r="L55" i="22"/>
  <c r="K55" i="22"/>
  <c r="AI54" i="22"/>
  <c r="AE54" i="22"/>
  <c r="Y54" i="22"/>
  <c r="U54" i="22"/>
  <c r="Q54" i="22"/>
  <c r="M54" i="22"/>
  <c r="I54" i="22"/>
  <c r="AB53" i="22"/>
  <c r="Z53" i="22"/>
  <c r="J53" i="22"/>
  <c r="AI50" i="22"/>
  <c r="U50" i="22"/>
  <c r="Q50" i="22"/>
  <c r="AI49" i="22"/>
  <c r="AE49" i="22"/>
  <c r="Y49" i="22"/>
  <c r="U49" i="22"/>
  <c r="Q49" i="22"/>
  <c r="M49" i="22"/>
  <c r="I49" i="22"/>
  <c r="AK48" i="22"/>
  <c r="AJ48" i="22"/>
  <c r="AH48" i="22"/>
  <c r="AG48" i="22"/>
  <c r="AF48" i="22"/>
  <c r="AB48" i="22"/>
  <c r="AA48" i="22"/>
  <c r="Z48" i="22"/>
  <c r="W48" i="22"/>
  <c r="V48" i="22"/>
  <c r="T48" i="22"/>
  <c r="S48" i="22"/>
  <c r="R48" i="22"/>
  <c r="P48" i="22"/>
  <c r="O48" i="22"/>
  <c r="N48" i="22"/>
  <c r="L48" i="22"/>
  <c r="K48" i="22"/>
  <c r="J48" i="22"/>
  <c r="AI47" i="22"/>
  <c r="AE47" i="22"/>
  <c r="U47" i="22"/>
  <c r="Q47" i="22"/>
  <c r="AI46" i="22"/>
  <c r="AE46" i="22"/>
  <c r="U46" i="22"/>
  <c r="Q46" i="22"/>
  <c r="M46" i="22"/>
  <c r="I46" i="22"/>
  <c r="AI45" i="22"/>
  <c r="AE45" i="22"/>
  <c r="U45" i="22"/>
  <c r="Q45" i="22"/>
  <c r="M45" i="22"/>
  <c r="I45" i="22"/>
  <c r="AI44" i="22"/>
  <c r="AE44" i="22"/>
  <c r="U44" i="22"/>
  <c r="Q44" i="22"/>
  <c r="M44" i="22"/>
  <c r="I44" i="22"/>
  <c r="AI43" i="22"/>
  <c r="AH43" i="22"/>
  <c r="AG43" i="22"/>
  <c r="AF43" i="22"/>
  <c r="AB43" i="22"/>
  <c r="AA43" i="22"/>
  <c r="Z43" i="22"/>
  <c r="X43" i="22"/>
  <c r="W43" i="22"/>
  <c r="V43" i="22"/>
  <c r="T43" i="22"/>
  <c r="S43" i="22"/>
  <c r="R43" i="22"/>
  <c r="P43" i="22"/>
  <c r="O43" i="22"/>
  <c r="N43" i="22"/>
  <c r="L43" i="22"/>
  <c r="K43" i="22"/>
  <c r="J43" i="22"/>
  <c r="AE40" i="22"/>
  <c r="U40" i="22"/>
  <c r="AI39" i="22"/>
  <c r="AE39" i="22"/>
  <c r="Y39" i="22"/>
  <c r="U39" i="22"/>
  <c r="Q39" i="22"/>
  <c r="M39" i="22"/>
  <c r="I39" i="22"/>
  <c r="AI38" i="22"/>
  <c r="AE38" i="22"/>
  <c r="Y38" i="22"/>
  <c r="U38" i="22"/>
  <c r="Q38" i="22"/>
  <c r="M38" i="22"/>
  <c r="I38" i="22"/>
  <c r="AI37" i="22"/>
  <c r="AE37" i="22"/>
  <c r="Y37" i="22"/>
  <c r="U37" i="22"/>
  <c r="Q37" i="22"/>
  <c r="M37" i="22"/>
  <c r="I37" i="22"/>
  <c r="AI36" i="22"/>
  <c r="AE36" i="22"/>
  <c r="Y36" i="22"/>
  <c r="U36" i="22"/>
  <c r="Q36" i="22"/>
  <c r="M36" i="22"/>
  <c r="I36" i="22"/>
  <c r="AI35" i="22"/>
  <c r="AE35" i="22"/>
  <c r="G35" i="22"/>
  <c r="F35" i="22"/>
  <c r="AI34" i="22"/>
  <c r="AE34" i="22"/>
  <c r="Y34" i="22"/>
  <c r="U34" i="22"/>
  <c r="Q34" i="22"/>
  <c r="M34" i="22"/>
  <c r="I34" i="22"/>
  <c r="AI33" i="22"/>
  <c r="AE33" i="22"/>
  <c r="Y33" i="22"/>
  <c r="U33" i="22"/>
  <c r="Q33" i="22"/>
  <c r="M33" i="22"/>
  <c r="I33" i="22"/>
  <c r="AI32" i="22"/>
  <c r="AE32" i="22"/>
  <c r="Y32" i="22"/>
  <c r="U32" i="22"/>
  <c r="Q32" i="22"/>
  <c r="G32" i="22"/>
  <c r="F32" i="22"/>
  <c r="AI13" i="22"/>
  <c r="AH31" i="22"/>
  <c r="AH13" i="22" s="1"/>
  <c r="AB31" i="22"/>
  <c r="Z31" i="22"/>
  <c r="F31" i="22" s="1"/>
  <c r="X31" i="22"/>
  <c r="T31" i="22"/>
  <c r="S31" i="22"/>
  <c r="G31" i="22" s="1"/>
  <c r="M31" i="22"/>
  <c r="L31" i="22"/>
  <c r="AI30" i="22"/>
  <c r="AE30" i="22"/>
  <c r="U30" i="22"/>
  <c r="Q30" i="22"/>
  <c r="AI29" i="22"/>
  <c r="AE29" i="22"/>
  <c r="Y29" i="22"/>
  <c r="U29" i="22"/>
  <c r="Q29" i="22"/>
  <c r="M29" i="22"/>
  <c r="I29" i="22"/>
  <c r="AI28" i="22"/>
  <c r="Y28" i="22"/>
  <c r="U28" i="22"/>
  <c r="Q28" i="22"/>
  <c r="M28" i="22"/>
  <c r="I28" i="22"/>
  <c r="AI27" i="22"/>
  <c r="AE27" i="22"/>
  <c r="Z27" i="22"/>
  <c r="X27" i="22"/>
  <c r="W27" i="22"/>
  <c r="W13" i="22" s="1"/>
  <c r="W12" i="22" s="1"/>
  <c r="V27" i="22"/>
  <c r="T27" i="22"/>
  <c r="S27" i="22"/>
  <c r="R27" i="22"/>
  <c r="P27" i="22"/>
  <c r="P13" i="22" s="1"/>
  <c r="P12" i="22" s="1"/>
  <c r="O27" i="22"/>
  <c r="O13" i="22" s="1"/>
  <c r="O12" i="22" s="1"/>
  <c r="N27" i="22"/>
  <c r="L27" i="22"/>
  <c r="K27" i="22"/>
  <c r="J27" i="22"/>
  <c r="AI26" i="22"/>
  <c r="AE26" i="22"/>
  <c r="Y26" i="22"/>
  <c r="U26" i="22"/>
  <c r="Q26" i="22"/>
  <c r="M26" i="22"/>
  <c r="I26" i="22"/>
  <c r="G26" i="22"/>
  <c r="F26" i="22"/>
  <c r="AI22" i="22"/>
  <c r="AE22" i="22"/>
  <c r="Y22" i="22"/>
  <c r="U22" i="22"/>
  <c r="Q22" i="22"/>
  <c r="M22" i="22"/>
  <c r="I22" i="22"/>
  <c r="G22" i="22"/>
  <c r="F22" i="22"/>
  <c r="AG12" i="22"/>
  <c r="AA13" i="22"/>
  <c r="AA12" i="22" s="1"/>
  <c r="Q18" i="22"/>
  <c r="M18" i="22"/>
  <c r="I18" i="22"/>
  <c r="F18" i="22"/>
  <c r="AI14" i="22"/>
  <c r="AE14" i="22"/>
  <c r="Q14" i="22"/>
  <c r="M14" i="22"/>
  <c r="I14" i="22"/>
  <c r="G14" i="22"/>
  <c r="F14" i="22"/>
  <c r="AJ12" i="22"/>
  <c r="AF12" i="22"/>
  <c r="AG11" i="44"/>
  <c r="AC11" i="44"/>
  <c r="Y11" i="44"/>
  <c r="U11" i="44"/>
  <c r="Q11" i="44"/>
  <c r="M11" i="44"/>
  <c r="I11" i="44"/>
  <c r="AG10" i="44"/>
  <c r="AC10" i="44"/>
  <c r="Y10" i="44"/>
  <c r="U10" i="44"/>
  <c r="Q10" i="44"/>
  <c r="M10" i="44"/>
  <c r="I10" i="44"/>
  <c r="AI7" i="44"/>
  <c r="AF9" i="44"/>
  <c r="AE9" i="44"/>
  <c r="AE8" i="44" s="1"/>
  <c r="AE7" i="44" s="1"/>
  <c r="AD9" i="44"/>
  <c r="AB9" i="44"/>
  <c r="AB8" i="44" s="1"/>
  <c r="AB7" i="44" s="1"/>
  <c r="AA9" i="44"/>
  <c r="Z9" i="44"/>
  <c r="Z8" i="44" s="1"/>
  <c r="Z7" i="44" s="1"/>
  <c r="X9" i="44"/>
  <c r="X8" i="44" s="1"/>
  <c r="X7" i="44" s="1"/>
  <c r="W9" i="44"/>
  <c r="V9" i="44"/>
  <c r="V8" i="44" s="1"/>
  <c r="V7" i="44" s="1"/>
  <c r="T9" i="44"/>
  <c r="T8" i="44" s="1"/>
  <c r="T7" i="44" s="1"/>
  <c r="S9" i="44"/>
  <c r="R9" i="44"/>
  <c r="R8" i="44" s="1"/>
  <c r="R7" i="44" s="1"/>
  <c r="P9" i="44"/>
  <c r="O9" i="44"/>
  <c r="L9" i="44"/>
  <c r="L8" i="44" s="1"/>
  <c r="L7" i="44" s="1"/>
  <c r="K9" i="44"/>
  <c r="J9" i="44"/>
  <c r="N8" i="44"/>
  <c r="N7" i="44" s="1"/>
  <c r="I111" i="22" l="1"/>
  <c r="I114" i="22" s="1"/>
  <c r="I115" i="22" s="1"/>
  <c r="H55" i="22"/>
  <c r="H43" i="22"/>
  <c r="G48" i="22"/>
  <c r="H9" i="44"/>
  <c r="L53" i="22"/>
  <c r="H53" i="22" s="1"/>
  <c r="F27" i="22"/>
  <c r="F13" i="22" s="1"/>
  <c r="I31" i="22"/>
  <c r="H31" i="22"/>
  <c r="H48" i="22"/>
  <c r="N53" i="22"/>
  <c r="M53" i="22" s="1"/>
  <c r="F55" i="22"/>
  <c r="K13" i="22"/>
  <c r="K12" i="22" s="1"/>
  <c r="G27" i="22"/>
  <c r="F43" i="22"/>
  <c r="E50" i="22"/>
  <c r="H27" i="22"/>
  <c r="G43" i="22"/>
  <c r="F48" i="22"/>
  <c r="G55" i="22"/>
  <c r="E49" i="22"/>
  <c r="J8" i="44"/>
  <c r="J7" i="44" s="1"/>
  <c r="F9" i="44"/>
  <c r="K8" i="44"/>
  <c r="K7" i="44" s="1"/>
  <c r="G9" i="44"/>
  <c r="AF8" i="44"/>
  <c r="S13" i="22"/>
  <c r="S12" i="22" s="1"/>
  <c r="AB42" i="22"/>
  <c r="AB41" i="22" s="1"/>
  <c r="AK42" i="22"/>
  <c r="AK41" i="22" s="1"/>
  <c r="AL41" i="22"/>
  <c r="Q9" i="44"/>
  <c r="T42" i="22"/>
  <c r="T41" i="22" s="1"/>
  <c r="S42" i="22"/>
  <c r="S41" i="22" s="1"/>
  <c r="AJ42" i="22"/>
  <c r="AJ41" i="22" s="1"/>
  <c r="Y55" i="22"/>
  <c r="Y9" i="44"/>
  <c r="E22" i="22"/>
  <c r="Y31" i="22"/>
  <c r="Q53" i="22"/>
  <c r="Y18" i="22"/>
  <c r="E34" i="22"/>
  <c r="R42" i="22"/>
  <c r="W42" i="22"/>
  <c r="AA42" i="22"/>
  <c r="U53" i="22"/>
  <c r="E37" i="22"/>
  <c r="E47" i="22"/>
  <c r="E39" i="22"/>
  <c r="E30" i="22"/>
  <c r="E56" i="22"/>
  <c r="E63" i="22"/>
  <c r="Y40" i="22"/>
  <c r="E40" i="22"/>
  <c r="AC9" i="44"/>
  <c r="U18" i="22"/>
  <c r="AI18" i="22"/>
  <c r="AK12" i="22"/>
  <c r="I43" i="22"/>
  <c r="J42" i="22"/>
  <c r="Y43" i="22"/>
  <c r="I48" i="22"/>
  <c r="M55" i="22"/>
  <c r="Q55" i="22"/>
  <c r="U55" i="22"/>
  <c r="I9" i="44"/>
  <c r="M9" i="44"/>
  <c r="E11" i="44"/>
  <c r="E29" i="22"/>
  <c r="Z42" i="22"/>
  <c r="E46" i="22"/>
  <c r="Y53" i="22"/>
  <c r="Q31" i="22"/>
  <c r="E33" i="22"/>
  <c r="X42" i="22"/>
  <c r="X41" i="22" s="1"/>
  <c r="AE43" i="22"/>
  <c r="U48" i="22"/>
  <c r="U9" i="44"/>
  <c r="AG9" i="44"/>
  <c r="E10" i="44"/>
  <c r="E26" i="22"/>
  <c r="E38" i="22"/>
  <c r="P42" i="22"/>
  <c r="P41" i="22" s="1"/>
  <c r="AH42" i="22"/>
  <c r="AH41" i="22" s="1"/>
  <c r="E44" i="22"/>
  <c r="E45" i="22"/>
  <c r="O42" i="22"/>
  <c r="AG42" i="22"/>
  <c r="AG41" i="22" s="1"/>
  <c r="E54" i="22"/>
  <c r="E57" i="22"/>
  <c r="AB13" i="22"/>
  <c r="AB12" i="22" s="1"/>
  <c r="Y14" i="22"/>
  <c r="M27" i="22"/>
  <c r="N13" i="22"/>
  <c r="E28" i="22"/>
  <c r="AE31" i="22"/>
  <c r="E36" i="22"/>
  <c r="U43" i="22"/>
  <c r="V42" i="22"/>
  <c r="M48" i="22"/>
  <c r="Q48" i="22"/>
  <c r="Y48" i="22"/>
  <c r="AE48" i="22"/>
  <c r="AI48" i="22"/>
  <c r="U14" i="22"/>
  <c r="E14" i="22"/>
  <c r="X13" i="22"/>
  <c r="X12" i="22" s="1"/>
  <c r="I27" i="22"/>
  <c r="J13" i="22"/>
  <c r="T13" i="22"/>
  <c r="T12" i="22" s="1"/>
  <c r="Y27" i="22"/>
  <c r="Z13" i="22"/>
  <c r="AI31" i="22"/>
  <c r="AL12" i="22"/>
  <c r="AF42" i="22"/>
  <c r="U27" i="22"/>
  <c r="V13" i="22"/>
  <c r="M43" i="22"/>
  <c r="G18" i="22"/>
  <c r="AE18" i="22"/>
  <c r="L13" i="22"/>
  <c r="L12" i="22" s="1"/>
  <c r="Q27" i="22"/>
  <c r="R13" i="22"/>
  <c r="U31" i="22"/>
  <c r="E35" i="22"/>
  <c r="I55" i="22"/>
  <c r="K53" i="22"/>
  <c r="K42" i="22" s="1"/>
  <c r="AE55" i="22"/>
  <c r="AE53" i="22" s="1"/>
  <c r="E59" i="22"/>
  <c r="Q43" i="22"/>
  <c r="E58" i="22"/>
  <c r="AD8" i="44"/>
  <c r="O8" i="44"/>
  <c r="S8" i="44"/>
  <c r="W8" i="44"/>
  <c r="AA8" i="44"/>
  <c r="P8" i="44"/>
  <c r="I113" i="22" l="1"/>
  <c r="F53" i="22"/>
  <c r="L42" i="22"/>
  <c r="H42" i="22" s="1"/>
  <c r="N42" i="22"/>
  <c r="N41" i="22" s="1"/>
  <c r="H8" i="44"/>
  <c r="G42" i="22"/>
  <c r="G12" i="22"/>
  <c r="I8" i="44"/>
  <c r="I7" i="44"/>
  <c r="AF7" i="44"/>
  <c r="O41" i="22"/>
  <c r="Y42" i="22"/>
  <c r="AI41" i="22"/>
  <c r="AA41" i="22"/>
  <c r="AI42" i="22"/>
  <c r="Q42" i="22"/>
  <c r="AJ11" i="22"/>
  <c r="E9" i="44"/>
  <c r="S11" i="22"/>
  <c r="AG11" i="22"/>
  <c r="E48" i="22"/>
  <c r="W41" i="22"/>
  <c r="W11" i="22" s="1"/>
  <c r="Z41" i="22"/>
  <c r="E43" i="22"/>
  <c r="E55" i="22"/>
  <c r="E31" i="22"/>
  <c r="E27" i="22"/>
  <c r="G13" i="22"/>
  <c r="AE42" i="22"/>
  <c r="AF41" i="22"/>
  <c r="N12" i="22"/>
  <c r="M13" i="22"/>
  <c r="G53" i="22"/>
  <c r="E53" i="22" s="1"/>
  <c r="I53" i="22"/>
  <c r="R12" i="22"/>
  <c r="Q13" i="22"/>
  <c r="E18" i="22"/>
  <c r="R41" i="22"/>
  <c r="Q41" i="22" s="1"/>
  <c r="AH12" i="22"/>
  <c r="H12" i="22" s="1"/>
  <c r="AE13" i="22"/>
  <c r="K41" i="22"/>
  <c r="J41" i="22"/>
  <c r="J12" i="22"/>
  <c r="I13" i="22"/>
  <c r="V12" i="22"/>
  <c r="U13" i="22"/>
  <c r="Z12" i="22"/>
  <c r="Y13" i="22"/>
  <c r="H13" i="22"/>
  <c r="U42" i="22"/>
  <c r="V41" i="22"/>
  <c r="AI12" i="22"/>
  <c r="AA7" i="44"/>
  <c r="Y7" i="44" s="1"/>
  <c r="Y8" i="44"/>
  <c r="AH7" i="44"/>
  <c r="AG8" i="44"/>
  <c r="W7" i="44"/>
  <c r="U7" i="44" s="1"/>
  <c r="U8" i="44"/>
  <c r="AD7" i="44"/>
  <c r="AC8" i="44"/>
  <c r="F8" i="44"/>
  <c r="S7" i="44"/>
  <c r="Q7" i="44" s="1"/>
  <c r="Q8" i="44"/>
  <c r="P7" i="44"/>
  <c r="G8" i="44"/>
  <c r="O7" i="44"/>
  <c r="M8" i="44"/>
  <c r="F42" i="22" l="1"/>
  <c r="M42" i="22"/>
  <c r="F7" i="44"/>
  <c r="H7" i="44"/>
  <c r="G7" i="44"/>
  <c r="I42" i="22"/>
  <c r="L41" i="22"/>
  <c r="H41" i="22" s="1"/>
  <c r="AG7" i="44"/>
  <c r="F12" i="22"/>
  <c r="M41" i="22"/>
  <c r="G41" i="22"/>
  <c r="E8" i="44"/>
  <c r="F41" i="22"/>
  <c r="AH11" i="22"/>
  <c r="AE12" i="22"/>
  <c r="Y41" i="22"/>
  <c r="U41" i="22"/>
  <c r="E13" i="22"/>
  <c r="E42" i="22"/>
  <c r="M12" i="22"/>
  <c r="M11" i="22"/>
  <c r="AF11" i="22"/>
  <c r="AE41" i="22"/>
  <c r="Z11" i="22"/>
  <c r="Y12" i="22"/>
  <c r="R11" i="22"/>
  <c r="Q11" i="22" s="1"/>
  <c r="Q12" i="22"/>
  <c r="J11" i="22"/>
  <c r="I12" i="22"/>
  <c r="V11" i="22"/>
  <c r="U12" i="22"/>
  <c r="M7" i="44"/>
  <c r="AC7" i="44"/>
  <c r="I41" i="22" l="1"/>
  <c r="AL11" i="22"/>
  <c r="AI11" i="22" s="1"/>
  <c r="F11" i="22"/>
  <c r="E12" i="22"/>
  <c r="AE11" i="22"/>
  <c r="I11" i="22"/>
  <c r="AA11" i="22"/>
  <c r="E41" i="22"/>
  <c r="E7" i="44"/>
  <c r="G11" i="22" l="1"/>
  <c r="H11" i="22"/>
  <c r="U11" i="22"/>
  <c r="Y11" i="22"/>
  <c r="E11" i="22" l="1"/>
  <c r="N6" i="37"/>
  <c r="R6" i="37"/>
  <c r="V6" i="37"/>
  <c r="Z6" i="37"/>
  <c r="J6" i="37"/>
  <c r="AG31" i="39" l="1"/>
  <c r="AC30" i="39"/>
  <c r="AC31" i="39"/>
  <c r="AB12" i="39"/>
  <c r="AB11" i="39" s="1"/>
  <c r="Y31" i="39"/>
  <c r="F31" i="39"/>
  <c r="G31" i="39"/>
  <c r="Y30" i="39"/>
  <c r="AG8" i="39"/>
  <c r="AJ8" i="37"/>
  <c r="AF8" i="37"/>
  <c r="AB8" i="37"/>
  <c r="E31" i="39" l="1"/>
  <c r="AG14" i="38"/>
  <c r="AF13" i="38"/>
  <c r="AH13" i="38"/>
  <c r="F13" i="38" s="1"/>
  <c r="AJ13" i="38"/>
  <c r="AI13" i="38"/>
  <c r="AG10" i="38"/>
  <c r="AG11" i="38"/>
  <c r="AG9" i="38"/>
  <c r="AH8" i="38"/>
  <c r="AI8" i="38"/>
  <c r="AJ8" i="38"/>
  <c r="F16" i="39"/>
  <c r="G16" i="39"/>
  <c r="F17" i="39"/>
  <c r="G17" i="39"/>
  <c r="F18" i="39"/>
  <c r="G18" i="39"/>
  <c r="F19" i="39"/>
  <c r="G19" i="39"/>
  <c r="F20" i="39"/>
  <c r="G20" i="39"/>
  <c r="F21" i="39"/>
  <c r="G21" i="39"/>
  <c r="F22" i="39"/>
  <c r="G22" i="39"/>
  <c r="F23" i="39"/>
  <c r="G23" i="39"/>
  <c r="F29" i="39"/>
  <c r="G29" i="39"/>
  <c r="F30" i="39"/>
  <c r="G30" i="39"/>
  <c r="AG23" i="39"/>
  <c r="AG24" i="39"/>
  <c r="AG25" i="39"/>
  <c r="AG26" i="39"/>
  <c r="AG27" i="39"/>
  <c r="AG28" i="39"/>
  <c r="AG29" i="39"/>
  <c r="AG30" i="39"/>
  <c r="AG10" i="39"/>
  <c r="AG17" i="39"/>
  <c r="AG18" i="39"/>
  <c r="AG19" i="39"/>
  <c r="AG20" i="39"/>
  <c r="AG21" i="39"/>
  <c r="AG22" i="39"/>
  <c r="AG16" i="39"/>
  <c r="AG12" i="39"/>
  <c r="AJ11" i="39"/>
  <c r="AG11" i="39" s="1"/>
  <c r="AH7" i="39"/>
  <c r="AH6" i="39" s="1"/>
  <c r="AI7" i="39"/>
  <c r="AI6" i="39" s="1"/>
  <c r="AJ7" i="39"/>
  <c r="AJ6" i="39" s="1"/>
  <c r="F9" i="37"/>
  <c r="G9" i="37"/>
  <c r="AH8" i="37"/>
  <c r="AI8" i="37"/>
  <c r="AG9" i="37"/>
  <c r="AG10" i="37"/>
  <c r="AG11" i="37"/>
  <c r="AG15" i="37"/>
  <c r="AG14" i="37"/>
  <c r="AH12" i="37"/>
  <c r="AI12" i="37"/>
  <c r="AJ7" i="37"/>
  <c r="AG16" i="37"/>
  <c r="Y19" i="37"/>
  <c r="Y20" i="37"/>
  <c r="Y21" i="37"/>
  <c r="AC19" i="37"/>
  <c r="AC20" i="37"/>
  <c r="AC21" i="37"/>
  <c r="AG19" i="37"/>
  <c r="AG20" i="37"/>
  <c r="AG21" i="37"/>
  <c r="AG18" i="37"/>
  <c r="AJ6" i="37" l="1"/>
  <c r="AI7" i="37"/>
  <c r="AI6" i="37" s="1"/>
  <c r="AH7" i="37"/>
  <c r="AH6" i="37" s="1"/>
  <c r="AG8" i="37"/>
  <c r="AG7" i="39"/>
  <c r="AH7" i="38"/>
  <c r="AG13" i="38"/>
  <c r="AG8" i="38"/>
  <c r="AI7" i="38"/>
  <c r="AJ7" i="38"/>
  <c r="AG6" i="39"/>
  <c r="AG12" i="37"/>
  <c r="AG7" i="37" l="1"/>
  <c r="AG6" i="37" s="1"/>
  <c r="AG7" i="38"/>
  <c r="E19" i="37" l="1"/>
  <c r="U19" i="37"/>
  <c r="E20" i="37" l="1"/>
  <c r="E21" i="37"/>
  <c r="U20" i="37"/>
  <c r="U21" i="37"/>
  <c r="E30" i="39" l="1"/>
  <c r="X11" i="39"/>
  <c r="X12" i="39"/>
  <c r="U30" i="39"/>
  <c r="X8" i="37" l="1"/>
  <c r="AC11" i="37"/>
  <c r="Y11" i="37"/>
  <c r="U11" i="37"/>
  <c r="Q11" i="37"/>
  <c r="AE13" i="38"/>
  <c r="E11" i="37" l="1"/>
  <c r="AF11" i="39" l="1"/>
  <c r="AF7" i="39"/>
  <c r="AF6" i="39" l="1"/>
  <c r="AF12" i="37"/>
  <c r="AF7" i="37" s="1"/>
  <c r="AD12" i="37"/>
  <c r="F12" i="37" s="1"/>
  <c r="AE12" i="37"/>
  <c r="G12" i="37" s="1"/>
  <c r="Y17" i="37"/>
  <c r="Y18" i="37"/>
  <c r="U17" i="37"/>
  <c r="U18" i="37"/>
  <c r="H12" i="38"/>
  <c r="F10" i="38"/>
  <c r="AC11" i="38"/>
  <c r="AF9" i="38"/>
  <c r="H9" i="38" s="1"/>
  <c r="AC10" i="38"/>
  <c r="AC12" i="38"/>
  <c r="AC13" i="38"/>
  <c r="AC14" i="38"/>
  <c r="AD8" i="38"/>
  <c r="F8" i="38" s="1"/>
  <c r="AE8" i="38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D7" i="39"/>
  <c r="AD6" i="39" s="1"/>
  <c r="AE7" i="39"/>
  <c r="AC7" i="39" s="1"/>
  <c r="G13" i="37"/>
  <c r="G17" i="37"/>
  <c r="AC9" i="37"/>
  <c r="AC10" i="37"/>
  <c r="AC13" i="37"/>
  <c r="AC14" i="37"/>
  <c r="AC15" i="37"/>
  <c r="AC16" i="37"/>
  <c r="AC17" i="37"/>
  <c r="AC18" i="37"/>
  <c r="AD8" i="37"/>
  <c r="AE8" i="37"/>
  <c r="AF6" i="37" l="1"/>
  <c r="AE7" i="38"/>
  <c r="AC9" i="38"/>
  <c r="AE7" i="37"/>
  <c r="AE6" i="37" s="1"/>
  <c r="AD7" i="37"/>
  <c r="F7" i="37" s="1"/>
  <c r="AD7" i="38"/>
  <c r="F7" i="38" s="1"/>
  <c r="AF8" i="38"/>
  <c r="AC12" i="37"/>
  <c r="AC8" i="37"/>
  <c r="AE6" i="39"/>
  <c r="AC6" i="39" s="1"/>
  <c r="F38" i="40"/>
  <c r="F33" i="40"/>
  <c r="F21" i="40"/>
  <c r="F52" i="40"/>
  <c r="F57" i="40"/>
  <c r="F65" i="40"/>
  <c r="F50" i="40"/>
  <c r="F47" i="40"/>
  <c r="AF7" i="38" l="1"/>
  <c r="AC7" i="38" s="1"/>
  <c r="AD6" i="37"/>
  <c r="F6" i="37"/>
  <c r="AC7" i="37"/>
  <c r="AC6" i="37" s="1"/>
  <c r="AC8" i="38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N38" i="35"/>
  <c r="N39" i="35"/>
  <c r="L39" i="35" s="1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7" i="35" l="1"/>
  <c r="L38" i="35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AA15" i="38"/>
  <c r="Y15" i="38" s="1"/>
  <c r="U15" i="38"/>
  <c r="Q15" i="38"/>
  <c r="M15" i="38"/>
  <c r="I15" i="38"/>
  <c r="H15" i="38"/>
  <c r="Q14" i="38"/>
  <c r="O14" i="38"/>
  <c r="M14" i="38" s="1"/>
  <c r="K14" i="38"/>
  <c r="AB13" i="38"/>
  <c r="X13" i="38"/>
  <c r="T13" i="38"/>
  <c r="S13" i="38"/>
  <c r="P13" i="38"/>
  <c r="L13" i="38"/>
  <c r="Y12" i="38"/>
  <c r="U12" i="38"/>
  <c r="Q12" i="38"/>
  <c r="M12" i="38"/>
  <c r="I12" i="38"/>
  <c r="G12" i="38"/>
  <c r="Y11" i="38"/>
  <c r="U11" i="38"/>
  <c r="Q11" i="38"/>
  <c r="P11" i="38"/>
  <c r="M11" i="38" s="1"/>
  <c r="L11" i="38"/>
  <c r="AA10" i="38"/>
  <c r="U10" i="38"/>
  <c r="Q10" i="38"/>
  <c r="M10" i="38"/>
  <c r="I10" i="38"/>
  <c r="U9" i="38"/>
  <c r="Q9" i="38"/>
  <c r="O9" i="38"/>
  <c r="O8" i="38" s="1"/>
  <c r="K9" i="38"/>
  <c r="AB8" i="38"/>
  <c r="X8" i="38"/>
  <c r="S8" i="38"/>
  <c r="G14" i="38" l="1"/>
  <c r="H11" i="38"/>
  <c r="E11" i="38" s="1"/>
  <c r="G9" i="38"/>
  <c r="H13" i="38"/>
  <c r="E14" i="38"/>
  <c r="I14" i="38"/>
  <c r="I11" i="38"/>
  <c r="X7" i="38"/>
  <c r="Q13" i="38"/>
  <c r="L8" i="38"/>
  <c r="I9" i="38"/>
  <c r="Y10" i="38"/>
  <c r="G10" i="38"/>
  <c r="E10" i="38" s="1"/>
  <c r="P8" i="38"/>
  <c r="P7" i="38" s="1"/>
  <c r="K13" i="38"/>
  <c r="K8" i="38"/>
  <c r="AB7" i="38"/>
  <c r="S7" i="38"/>
  <c r="T8" i="38"/>
  <c r="T7" i="38" s="1"/>
  <c r="O13" i="38"/>
  <c r="O7" i="38" s="1"/>
  <c r="U13" i="38"/>
  <c r="E12" i="38"/>
  <c r="M9" i="38"/>
  <c r="AA8" i="38"/>
  <c r="G15" i="38"/>
  <c r="E15" i="38" s="1"/>
  <c r="W8" i="38"/>
  <c r="O26" i="35"/>
  <c r="L26" i="35" s="1"/>
  <c r="H26" i="35"/>
  <c r="AA13" i="38"/>
  <c r="Y14" i="38"/>
  <c r="U14" i="38"/>
  <c r="G8" i="38" l="1"/>
  <c r="G13" i="38"/>
  <c r="E13" i="38" s="1"/>
  <c r="H8" i="38"/>
  <c r="L7" i="38"/>
  <c r="H7" i="38" s="1"/>
  <c r="Y8" i="38"/>
  <c r="M7" i="38"/>
  <c r="M13" i="38"/>
  <c r="M8" i="38"/>
  <c r="I8" i="38"/>
  <c r="I13" i="38"/>
  <c r="K7" i="38"/>
  <c r="Y9" i="38"/>
  <c r="E9" i="38"/>
  <c r="Q7" i="38"/>
  <c r="Q8" i="38"/>
  <c r="U8" i="38"/>
  <c r="W7" i="38"/>
  <c r="U7" i="38" s="1"/>
  <c r="Y13" i="38"/>
  <c r="AA7" i="38"/>
  <c r="G7" i="38" l="1"/>
  <c r="E7" i="38" s="1"/>
  <c r="I7" i="38"/>
  <c r="E8" i="38"/>
  <c r="Y7" i="38"/>
  <c r="Y29" i="39" l="1"/>
  <c r="U29" i="39"/>
  <c r="Q29" i="39"/>
  <c r="M29" i="39"/>
  <c r="I29" i="39"/>
  <c r="G28" i="39"/>
  <c r="G27" i="39"/>
  <c r="G26" i="39"/>
  <c r="G25" i="39"/>
  <c r="G24" i="39"/>
  <c r="Y23" i="39"/>
  <c r="U23" i="39"/>
  <c r="Q23" i="39"/>
  <c r="M23" i="39"/>
  <c r="I23" i="39"/>
  <c r="E23" i="39"/>
  <c r="Y22" i="39"/>
  <c r="U22" i="39"/>
  <c r="Q22" i="39"/>
  <c r="M22" i="39"/>
  <c r="I22" i="39"/>
  <c r="Y21" i="39"/>
  <c r="U21" i="39"/>
  <c r="Q21" i="39"/>
  <c r="M21" i="39"/>
  <c r="I21" i="39"/>
  <c r="E21" i="39"/>
  <c r="Y20" i="39"/>
  <c r="U20" i="39"/>
  <c r="Q20" i="39"/>
  <c r="M20" i="39"/>
  <c r="I20" i="39"/>
  <c r="Y19" i="39"/>
  <c r="U19" i="39"/>
  <c r="Q19" i="39"/>
  <c r="M19" i="39"/>
  <c r="I19" i="39"/>
  <c r="E19" i="39"/>
  <c r="Y18" i="39"/>
  <c r="U18" i="39"/>
  <c r="Q18" i="39"/>
  <c r="M18" i="39"/>
  <c r="I18" i="39"/>
  <c r="Y17" i="39"/>
  <c r="U17" i="39"/>
  <c r="Q17" i="39"/>
  <c r="M17" i="39"/>
  <c r="I17" i="39"/>
  <c r="E17" i="39"/>
  <c r="Y16" i="39"/>
  <c r="U16" i="39"/>
  <c r="Q16" i="39"/>
  <c r="M16" i="39"/>
  <c r="I16" i="39"/>
  <c r="AA12" i="39"/>
  <c r="W12" i="39"/>
  <c r="T12" i="39"/>
  <c r="T11" i="39" s="1"/>
  <c r="S12" i="39"/>
  <c r="P12" i="39"/>
  <c r="P11" i="39" s="1"/>
  <c r="O12" i="39"/>
  <c r="L12" i="39"/>
  <c r="K12" i="39"/>
  <c r="Y9" i="39"/>
  <c r="U9" i="39"/>
  <c r="Q9" i="39"/>
  <c r="M9" i="39"/>
  <c r="I9" i="39"/>
  <c r="G9" i="39"/>
  <c r="AB8" i="39"/>
  <c r="Y8" i="39" s="1"/>
  <c r="Y7" i="39" s="1"/>
  <c r="U8" i="39"/>
  <c r="U7" i="39" s="1"/>
  <c r="Q8" i="39"/>
  <c r="Q7" i="39" s="1"/>
  <c r="P8" i="39"/>
  <c r="M8" i="39" s="1"/>
  <c r="M7" i="39" s="1"/>
  <c r="L8" i="39"/>
  <c r="G7" i="39"/>
  <c r="AA7" i="39"/>
  <c r="AA6" i="39" s="1"/>
  <c r="W7" i="39"/>
  <c r="W6" i="39" s="1"/>
  <c r="S7" i="39"/>
  <c r="S6" i="39" s="1"/>
  <c r="O7" i="39"/>
  <c r="O6" i="39" s="1"/>
  <c r="K7" i="39"/>
  <c r="K6" i="39" s="1"/>
  <c r="H12" i="39" l="1"/>
  <c r="H8" i="39"/>
  <c r="E8" i="39" s="1"/>
  <c r="I8" i="39"/>
  <c r="I7" i="39" s="1"/>
  <c r="Q11" i="39"/>
  <c r="T10" i="39"/>
  <c r="Q10" i="39" s="1"/>
  <c r="AB7" i="39"/>
  <c r="T7" i="39"/>
  <c r="M11" i="39"/>
  <c r="P10" i="39"/>
  <c r="M10" i="39" s="1"/>
  <c r="L7" i="39"/>
  <c r="Q12" i="39"/>
  <c r="E18" i="39"/>
  <c r="E29" i="39"/>
  <c r="E9" i="39"/>
  <c r="M12" i="39"/>
  <c r="E16" i="39"/>
  <c r="X10" i="39"/>
  <c r="U10" i="39" s="1"/>
  <c r="U11" i="39"/>
  <c r="P7" i="39"/>
  <c r="L11" i="39"/>
  <c r="H11" i="39" s="1"/>
  <c r="Y12" i="39"/>
  <c r="E22" i="39"/>
  <c r="U12" i="39"/>
  <c r="G6" i="39"/>
  <c r="X7" i="39"/>
  <c r="I12" i="39"/>
  <c r="E20" i="39"/>
  <c r="G12" i="39"/>
  <c r="H7" i="39" l="1"/>
  <c r="E7" i="39" s="1"/>
  <c r="P6" i="39"/>
  <c r="M6" i="39" s="1"/>
  <c r="Y10" i="39"/>
  <c r="Y11" i="39"/>
  <c r="E11" i="39"/>
  <c r="E12" i="39"/>
  <c r="AB6" i="39"/>
  <c r="Y6" i="39" s="1"/>
  <c r="T6" i="39"/>
  <c r="Q6" i="39" s="1"/>
  <c r="X6" i="39"/>
  <c r="U6" i="39" s="1"/>
  <c r="I11" i="39"/>
  <c r="L10" i="39"/>
  <c r="H10" i="39" s="1"/>
  <c r="O33" i="35"/>
  <c r="L33" i="35" s="1"/>
  <c r="D33" i="35"/>
  <c r="E10" i="39" l="1"/>
  <c r="I10" i="39"/>
  <c r="H6" i="39"/>
  <c r="E6" i="39" s="1"/>
  <c r="L6" i="39"/>
  <c r="I6" i="39" s="1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Q18" i="37" l="1"/>
  <c r="E18" i="37"/>
  <c r="Q17" i="37"/>
  <c r="M17" i="37"/>
  <c r="I17" i="37"/>
  <c r="Y16" i="37"/>
  <c r="U16" i="37"/>
  <c r="Q16" i="37"/>
  <c r="P16" i="37"/>
  <c r="H16" i="37" s="1"/>
  <c r="I16" i="37"/>
  <c r="Y15" i="37"/>
  <c r="U15" i="37"/>
  <c r="Q15" i="37"/>
  <c r="M15" i="37"/>
  <c r="I15" i="37"/>
  <c r="Y14" i="37"/>
  <c r="U14" i="37"/>
  <c r="Q14" i="37"/>
  <c r="M14" i="37"/>
  <c r="I14" i="37"/>
  <c r="AB13" i="37"/>
  <c r="AB12" i="37" s="1"/>
  <c r="X13" i="37"/>
  <c r="T13" i="37"/>
  <c r="T12" i="37" s="1"/>
  <c r="Q12" i="37" s="1"/>
  <c r="P13" i="37"/>
  <c r="M13" i="37" s="1"/>
  <c r="L13" i="37"/>
  <c r="Y10" i="37"/>
  <c r="U10" i="37"/>
  <c r="Q10" i="37"/>
  <c r="M10" i="37"/>
  <c r="I10" i="37"/>
  <c r="Y9" i="37"/>
  <c r="U9" i="37"/>
  <c r="Q9" i="37"/>
  <c r="M9" i="37"/>
  <c r="I9" i="37"/>
  <c r="U8" i="37"/>
  <c r="T8" i="37"/>
  <c r="P8" i="37"/>
  <c r="O8" i="37"/>
  <c r="G8" i="37" s="1"/>
  <c r="N8" i="37"/>
  <c r="F8" i="37" s="1"/>
  <c r="I8" i="37"/>
  <c r="AA7" i="37"/>
  <c r="AA6" i="37" s="1"/>
  <c r="W7" i="37"/>
  <c r="W6" i="37" s="1"/>
  <c r="S7" i="37"/>
  <c r="S6" i="37" s="1"/>
  <c r="K7" i="37"/>
  <c r="H8" i="37" l="1"/>
  <c r="AB7" i="37"/>
  <c r="AB6" i="37" s="1"/>
  <c r="O7" i="37"/>
  <c r="O6" i="37" s="1"/>
  <c r="K6" i="37"/>
  <c r="Y12" i="37"/>
  <c r="Y8" i="37"/>
  <c r="M16" i="37"/>
  <c r="E16" i="37"/>
  <c r="U13" i="37"/>
  <c r="H13" i="37"/>
  <c r="E13" i="37" s="1"/>
  <c r="E15" i="37"/>
  <c r="M8" i="37"/>
  <c r="T7" i="37"/>
  <c r="T6" i="37" s="1"/>
  <c r="E14" i="37"/>
  <c r="Q8" i="37"/>
  <c r="P12" i="37"/>
  <c r="M12" i="37" s="1"/>
  <c r="X12" i="37"/>
  <c r="X7" i="37" s="1"/>
  <c r="X6" i="37" s="1"/>
  <c r="I13" i="37"/>
  <c r="Q13" i="37"/>
  <c r="Y13" i="37"/>
  <c r="E9" i="37"/>
  <c r="L12" i="37"/>
  <c r="E17" i="37"/>
  <c r="E10" i="37"/>
  <c r="H12" i="37" l="1"/>
  <c r="E12" i="37" s="1"/>
  <c r="G7" i="37"/>
  <c r="G6" i="37" s="1"/>
  <c r="Y7" i="37"/>
  <c r="Y6" i="37" s="1"/>
  <c r="Q7" i="37"/>
  <c r="Q6" i="37" s="1"/>
  <c r="U12" i="37"/>
  <c r="E8" i="37"/>
  <c r="U7" i="37"/>
  <c r="U6" i="37" s="1"/>
  <c r="I12" i="37"/>
  <c r="L7" i="37"/>
  <c r="P7" i="37"/>
  <c r="H7" i="37" l="1"/>
  <c r="H6" i="37" s="1"/>
  <c r="L6" i="37"/>
  <c r="M7" i="37"/>
  <c r="M6" i="37" s="1"/>
  <c r="P6" i="37"/>
  <c r="I7" i="37"/>
  <c r="I6" i="37" s="1"/>
  <c r="E7" i="37" l="1"/>
  <c r="E6" i="37" s="1"/>
  <c r="N65" i="35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<sst xmlns="http://schemas.openxmlformats.org/spreadsheetml/2006/main" count="2138" uniqueCount="812">
  <si>
    <t>наименование  задач,  мероприятий</t>
  </si>
  <si>
    <t xml:space="preserve">всего </t>
  </si>
  <si>
    <t>Всего</t>
  </si>
  <si>
    <t>ОБ</t>
  </si>
  <si>
    <t>ФБ</t>
  </si>
  <si>
    <t>МБ</t>
  </si>
  <si>
    <t>1.1.</t>
  </si>
  <si>
    <t>7950012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</si>
  <si>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</si>
  <si>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</si>
  <si>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</si>
  <si>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</si>
  <si>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Создание безбарьерной среды для обучающихся с ограниченными возможностями здоровья в образовательных учреждениях</t>
  </si>
  <si>
    <t>2.</t>
  </si>
  <si>
    <t>2.1.</t>
  </si>
  <si>
    <t>Исполнитель</t>
  </si>
  <si>
    <t>МАОУ СОШ №10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</si>
  <si>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</si>
  <si>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</si>
  <si>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</si>
  <si>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</si>
  <si>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МАОУ ДОД ДЭБС</t>
  </si>
  <si>
    <t>МБДОУ №53</t>
  </si>
  <si>
    <t>капитальный ремонт системы электроснабжения</t>
  </si>
  <si>
    <t>МБДОУ №12</t>
  </si>
  <si>
    <t>МБОУ ООШ №15</t>
  </si>
  <si>
    <t>МАОУ ООШ №19</t>
  </si>
  <si>
    <t xml:space="preserve">Ремонт теневых навесов </t>
  </si>
  <si>
    <t>МБДОУ №16</t>
  </si>
  <si>
    <t xml:space="preserve">Замена бойлера 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</si>
  <si>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</si>
  <si>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</si>
  <si>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</si>
  <si>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</si>
  <si>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</si>
  <si>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</si>
  <si>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Частичный ремонт кровли</t>
  </si>
  <si>
    <t>МБОУ СОШ №11</t>
  </si>
  <si>
    <t>Замена витражей над спортивным залом</t>
  </si>
  <si>
    <t>МБОУ ООШ №5</t>
  </si>
  <si>
    <t xml:space="preserve">Установка деревянных жалюзи на слуховых окнах </t>
  </si>
  <si>
    <t>Организация  подвоза  обучающихся  к  месту  учебы  и обратно, предоставление льготных билетов</t>
  </si>
  <si>
    <t>Капитальный ремонт крылец</t>
  </si>
  <si>
    <t>ОУ</t>
  </si>
  <si>
    <t>Управление образования, ОУ</t>
  </si>
  <si>
    <t>МБДОУ №24</t>
  </si>
  <si>
    <t>МДОУ №20</t>
  </si>
  <si>
    <t>Ремонт спортивного зала</t>
  </si>
  <si>
    <t>Подготовка к новому учебному году</t>
  </si>
  <si>
    <t>МБОУ СОШ №10</t>
  </si>
  <si>
    <t>Управление образования</t>
  </si>
  <si>
    <t>1.3.</t>
  </si>
  <si>
    <t>3.1.</t>
  </si>
  <si>
    <t>2.2.</t>
  </si>
  <si>
    <t>2.2.1.</t>
  </si>
  <si>
    <t>2.2.2.</t>
  </si>
  <si>
    <t>2.3.</t>
  </si>
  <si>
    <t>МДОУ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</si>
  <si>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</si>
  <si>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</si>
  <si>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</si>
  <si>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</si>
  <si>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Администрация, Управление образования</t>
  </si>
  <si>
    <t>Управление образования,МБУ ИМЦ</t>
  </si>
  <si>
    <t>тыс. руб.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</si>
  <si>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</si>
  <si>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</si>
  <si>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</si>
  <si>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</si>
  <si>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установка противопожарных дверей</t>
  </si>
  <si>
    <t>МБОУ СОШ №6</t>
  </si>
  <si>
    <t xml:space="preserve">в том числе </t>
  </si>
  <si>
    <t xml:space="preserve">Капитальный ремонт, оснащение пищеблока </t>
  </si>
  <si>
    <t xml:space="preserve">Обеспечение выполнений требований надзорных органов и технической безопасности организаций образования </t>
  </si>
  <si>
    <t>ОУ, Управление образования</t>
  </si>
  <si>
    <t xml:space="preserve">Проведение работы по проведению обследования части кровли, по разработке рабочей документации на ремонт (или усиление) конструкций здания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</si>
  <si>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</si>
  <si>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</si>
  <si>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Устранение предписаний Роспотребнадзора</t>
  </si>
  <si>
    <t>Демонтаж, монтаж карнизных плит здания</t>
  </si>
  <si>
    <t>Проведение обследования состояния несущих стен и фундамента пристройки здания бассейна</t>
  </si>
  <si>
    <t>МБДОУ №36</t>
  </si>
  <si>
    <t>Администрация, Комитет  имущественных, земельных отношений и градостроительства, Управление  образования, МБДОУ №1</t>
  </si>
  <si>
    <t>Администрация,Комитет  имущественных, земельных отношений и градостроительства,  Управление  образования, МБДОУ №2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</si>
  <si>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</si>
  <si>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</si>
  <si>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</si>
  <si>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</si>
  <si>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</si>
  <si>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</si>
  <si>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</si>
  <si>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</si>
  <si>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</si>
  <si>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</si>
  <si>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</si>
  <si>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</si>
  <si>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</si>
  <si>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</si>
  <si>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</si>
  <si>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</si>
  <si>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</si>
  <si>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</si>
  <si>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</si>
  <si>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</si>
  <si>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</si>
  <si>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</si>
  <si>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</si>
  <si>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</si>
  <si>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</si>
  <si>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</si>
  <si>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</si>
  <si>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</si>
  <si>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>Обустройство спортивной площадки с элементами полосы препятствий</t>
  </si>
  <si>
    <t>Приобретение оборудования, методических пособий для организации работы с детьми с ОВЗ в  МДОУ, УДОД</t>
  </si>
  <si>
    <t>МДОУ, УДОД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</si>
  <si>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</si>
  <si>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</si>
  <si>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</si>
  <si>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</si>
  <si>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</si>
  <si>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</si>
  <si>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</si>
  <si>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</si>
  <si>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</si>
  <si>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</si>
  <si>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</si>
  <si>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</si>
  <si>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</si>
  <si>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</si>
  <si>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</si>
  <si>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</si>
  <si>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</si>
  <si>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</si>
  <si>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</si>
  <si>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</si>
  <si>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</si>
  <si>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</si>
  <si>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</si>
  <si>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</si>
  <si>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</si>
  <si>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</si>
  <si>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</si>
  <si>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приобретение и установка устройств для самозакрывания противопожарных дверей</t>
  </si>
  <si>
    <t>обеспечение инструментами и расходными материалами ремонтно-строительного участка</t>
  </si>
  <si>
    <t>приложение 2.1.   к подпрограмме "Развитие  современной  инфраструктуры системы  образования"</t>
  </si>
  <si>
    <t>Итого</t>
  </si>
  <si>
    <t>Управление образования, ОУ, учреждения образования</t>
  </si>
  <si>
    <t>Проведение специальной оценки условий труда</t>
  </si>
  <si>
    <t>МБДОУ №4</t>
  </si>
  <si>
    <t>ремонтные работы по замене  перегородок (стен) на противопожарные</t>
  </si>
  <si>
    <t>замена дверей в электрощитовую и вентиляционную, пищеблок на противопожарные</t>
  </si>
  <si>
    <t xml:space="preserve"> замена чердачных люков на противопожарные</t>
  </si>
  <si>
    <t>замена чердачных люков на противопожарные</t>
  </si>
  <si>
    <t xml:space="preserve"> замена выходов из лестничных клеток на кровлю противопожарными люками</t>
  </si>
  <si>
    <t>Мероприятия по обеспечению комплексной безопасности муниципальных образовательных организаций</t>
  </si>
  <si>
    <t>разработка проектно-сметной документации на систему автоматической пожарной сигнализации</t>
  </si>
  <si>
    <t>всего</t>
  </si>
  <si>
    <t>Приобретение материалов для косметического ремонта группы</t>
  </si>
  <si>
    <t>МДОУ №48</t>
  </si>
  <si>
    <t>МДОУ №48,16</t>
  </si>
  <si>
    <t>выполнение работ по установке   системы автоматической пожарной сигнализации</t>
  </si>
  <si>
    <t>Замена расходомеров с внесением изменений в проектную документацию, изготовление комплектных паспортов</t>
  </si>
  <si>
    <t>Ремонт спортивного зала с заменой оконных блоков</t>
  </si>
  <si>
    <t>выполнение работ по замене дверей эвакуационных выходов</t>
  </si>
  <si>
    <t>приложение 1.1.   к подпрограмме "Развитие  дошкольного, общего и дополнительного образования детей"</t>
  </si>
  <si>
    <t>Приоретение материалов для ремонта пищеблока, замена окна в пищеблоке</t>
  </si>
  <si>
    <t>4.2.</t>
  </si>
  <si>
    <t>Приобретение вытяжных шкафов в кабинет химии и лаборантскую кабинета химии</t>
  </si>
  <si>
    <t>Приобретение холодильного оборудования</t>
  </si>
  <si>
    <t>Приобретение  электроплиты</t>
  </si>
  <si>
    <t>Приобретение устройств для самозакрывания дверей (доводчики)</t>
  </si>
  <si>
    <t>Приобретение умывальных раковин для учебных кабинетов</t>
  </si>
  <si>
    <t>Установка умывальных раковин с подводом холодной воды и системы канализации и установка водонагревателя с разводкой горячей воды в учебных кабинетах химии, физики</t>
  </si>
  <si>
    <t>ремонт кабинетов</t>
  </si>
  <si>
    <t xml:space="preserve">МБОУ ООШ №15  </t>
  </si>
  <si>
    <t>Проведение ремонтных работ центрального входа</t>
  </si>
  <si>
    <t xml:space="preserve">Строительство теневых навесов </t>
  </si>
  <si>
    <t>Проведение ремонтных работ фасада здания</t>
  </si>
  <si>
    <t>Ремонт теневых навесов</t>
  </si>
  <si>
    <t>Замена вентилей, пожарных рукавов, стволов</t>
  </si>
  <si>
    <t>УО,  МБУ "ИМЦ"</t>
  </si>
  <si>
    <t>Приобретение материалов для замены пожарных рукавов, вентилей, стволов</t>
  </si>
  <si>
    <t>Ремонт элементов кровли (здание по ул.Питео,6)</t>
  </si>
  <si>
    <t>Монтаж дополнительных элементов ограждения территории (здание по ул.Питео,6)</t>
  </si>
  <si>
    <t>УО, ОУ, учреждения образования</t>
  </si>
  <si>
    <t>1.</t>
  </si>
  <si>
    <t>Задача 1.  "Обеспечение  равного  доступа к  услугам   дошкольного,  общего  и  дополнительного  образования"</t>
  </si>
  <si>
    <t>задача 2. " Модернизация  содержания  образования  и  образовательной  среды, направленной  на  достижение  современного  качества  учебных результатов  и результатов  социализации"</t>
  </si>
  <si>
    <t>2.3.2.</t>
  </si>
  <si>
    <t>2.4.</t>
  </si>
  <si>
    <t>3.</t>
  </si>
  <si>
    <t>4.</t>
  </si>
  <si>
    <t>задача 4.  "Обеспечение  организованного  отдыха  и  оздоровления  детей "</t>
  </si>
  <si>
    <t>5.</t>
  </si>
  <si>
    <t>задача 5. "Повышение уровня компетенции педагогических кадров, создание механизмов мотивации педагогов к повышению качества работы и непрерывному профессиональному развитию"</t>
  </si>
  <si>
    <t xml:space="preserve">Задача  1.  "Модернизация  инфраструктуры  и ресурсное  обеспечение  образовательных  организаций Кандалакшского  района" </t>
  </si>
  <si>
    <t>Задача 2.  "Обеспечение  соответствия  образовательных  организаций санитарно-гигиеническим,  противопожарным  нормам,  требованиям  безопасности"</t>
  </si>
  <si>
    <t xml:space="preserve">2.3. </t>
  </si>
  <si>
    <t>Выполнение работ по проведению территориального землеустройства, в том числе изготовление схемы расположения земельного участка, проведение кадастровых  работ</t>
  </si>
  <si>
    <t>Управление образования, ИМЦ</t>
  </si>
  <si>
    <t>задача 3. "Участие  в  региональной   оценке качества общего образования"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</si>
  <si>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</si>
  <si>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1.4.</t>
  </si>
  <si>
    <t>Социальная поддержка отдельных категорий граждан, работающих в сельских населенных пунктах или поселках городского типа</t>
  </si>
  <si>
    <t>1.5.</t>
  </si>
  <si>
    <t>1.7.</t>
  </si>
  <si>
    <t>1.6.</t>
  </si>
  <si>
    <t>1.8.</t>
  </si>
  <si>
    <t>1.9.</t>
  </si>
  <si>
    <t>1.10.</t>
  </si>
  <si>
    <t>Основное  мероприятие 2.    "Модернизация  дошкольного, общего, дополнительного образования"</t>
  </si>
  <si>
    <t>Модернизация дошкольного образования</t>
  </si>
  <si>
    <t>2.1.1.</t>
  </si>
  <si>
    <t>Оснащение детских садов по ул.Первомайская, 25 (после реконструкции), ул. Питео, 6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</si>
  <si>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</si>
  <si>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Приобретение мебели, технологического оборудования для пищеблоков детских садов</t>
  </si>
  <si>
    <t xml:space="preserve"> Модернизация  общего  образования</t>
  </si>
  <si>
    <t>Модернизация дополнительного  образования</t>
  </si>
  <si>
    <t>Реализация  мероприятий,  направленных на  развитие  дистанционного  обучения</t>
  </si>
  <si>
    <t>Аренда спортивных помещений и площадок МАУ "Дворец спорта" для проведения учебно-тренировочных занятий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</si>
  <si>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</si>
  <si>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3    "Организация  и проведение  мероприятий, направленных  на  выявление и  поддержку  талантливых детей</t>
  </si>
  <si>
    <t>Организация  и  проведение муниципальных мероприятий, направленных на  выявление  и  поддержку  талантливых детей</t>
  </si>
  <si>
    <t>Организация  и проведение  муниципального  этапа  Всероссийской  олимпиады  школьников</t>
  </si>
  <si>
    <t>Обеспечение  участия  победителей  муниципальных  этапов  олимпиад, конкурсов,  соревнований в  региональных, федеральных, окружных  и международных интеллектуальных и творческих мероприятиях</t>
  </si>
  <si>
    <t>Создание  условий  для  поддержки  талантливых  детей.Направление  обучаюшихся  для  обучения  в  школе  "А-Элита", Кольском  филиале  ПетрГУ</t>
  </si>
  <si>
    <t>Целевая   материальная поддержка  победителей  и призеров муниципального, регинального  и заключительного   этапов  Всероссийской  олимпиады  школьников</t>
  </si>
  <si>
    <t>Организация  межшкольных факультативов  для  детей  с  повышенными  образовательными  потребностями</t>
  </si>
  <si>
    <t>Основное  мероприятие   4.      "Поддержка  инициатив   и инноваций  образовательных организаций"</t>
  </si>
  <si>
    <t>4.1.</t>
  </si>
  <si>
    <t>Стимулирование   деятельности образовательных учреждений  по повышению качества  образования через  гранты (смотры-конкурсы  кабинетов,  конкурс на  лучший  инновационный  проект,  педагогические  премии, юбилейные даты  и т.п.)</t>
  </si>
  <si>
    <t>Основное мероприятие 5.          Организация и проведение государственной итоговой аттестации</t>
  </si>
  <si>
    <t>Организация и проведение государственной (итоговой) аттестации обучающихся 9-ых классов в условиях независимой оценки качества образования</t>
  </si>
  <si>
    <t>5.1.</t>
  </si>
  <si>
    <t>Организация и проведение единого государственного экзамена и государственного выпускного экзамена</t>
  </si>
  <si>
    <t>6.</t>
  </si>
  <si>
    <t>Основное мероприятие 6.           "Обеспечение и организация  отдыха и оздоровления  детей"</t>
  </si>
  <si>
    <t xml:space="preserve"> "Организация  отдыха и оздоровления  детей в  оздоровительных учреждениях, расположенных за  пределами Мурманской  области"</t>
  </si>
  <si>
    <t>Организация оздоровительных групп для дошкольников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</si>
  <si>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</si>
  <si>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</si>
  <si>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Обеспечение исполнения обязательств по выполненным  работам по реконструкции детского сада, расположенного по ул. Первомайская,25 в г. Кандалакша</t>
  </si>
  <si>
    <t>Обеспечение исполнения обязательств по выполненным  работам по строительству детского сада, расположенного по ул.Питео, д.6  в г.Кандалакша</t>
  </si>
  <si>
    <t xml:space="preserve">Выполнение проектно-изыскательских работ по реконструкции здания по адресу ул.Спекова,26  под детский сад 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</si>
  <si>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</si>
  <si>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"Обеспечение пожарной и электрической безопасности организаций образования"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</si>
  <si>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</si>
  <si>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</si>
  <si>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Оснащение  современными  средствами информатизации и программным  обеспечением  образовательных  организаций,  (приобретение робототехники)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</si>
  <si>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</si>
  <si>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t>7.1.</t>
  </si>
  <si>
    <t>2.3.1.</t>
  </si>
  <si>
    <t>2.1.3.</t>
  </si>
  <si>
    <t>2.1.2.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</si>
  <si>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</si>
  <si>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</si>
  <si>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t>Организация  и проведение  мероприятий, направленных  на  выявление и  поддержку  талантливых детей</t>
  </si>
  <si>
    <t>Поддержка  инициатив   и инноваций  образовательных организаций</t>
  </si>
  <si>
    <t>Организация и проведение государственной итоговой аттестации</t>
  </si>
  <si>
    <t>6.2.</t>
  </si>
  <si>
    <t>Обеспечение и организация отдыха и оздоровления детей</t>
  </si>
  <si>
    <t>6.2.1.</t>
  </si>
  <si>
    <t>6.2.2.</t>
  </si>
  <si>
    <t>6.1.</t>
  </si>
  <si>
    <t>6.2.3.</t>
  </si>
  <si>
    <t>6.2.4.</t>
  </si>
  <si>
    <t>Мероприятия, связанные с обеспечением непрерывности системы повышения квалификации работников образования, улучшение системы развития персонала</t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</si>
  <si>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</si>
  <si>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r>
      <rPr>
        <b/>
        <sz val="9"/>
        <color theme="1"/>
        <rFont val="Times New Roman"/>
        <family val="1"/>
        <charset val="204"/>
      </rPr>
      <t xml:space="preserve">Основное  мероприятие  5.  </t>
    </r>
    <r>
      <rPr>
        <sz val="9"/>
        <color theme="1"/>
        <rFont val="Times New Roman"/>
        <family val="1"/>
        <charset val="204"/>
      </rPr>
      <t>"Информатизация  системы   образования  Кандалакшского района"</t>
    </r>
  </si>
  <si>
    <t>№1</t>
  </si>
  <si>
    <t>№2</t>
  </si>
  <si>
    <t>№3</t>
  </si>
  <si>
    <t>№4</t>
  </si>
  <si>
    <t>№5</t>
  </si>
  <si>
    <t xml:space="preserve">Реконструкция здания по адресу: ул. Первомайская, д. 2а, под организацию дополнительного образования ДЮЦ "Ровесник" </t>
  </si>
  <si>
    <t>МАОУДО СДЮСШОР</t>
  </si>
  <si>
    <t xml:space="preserve"> Разработка проектно-сметной документации на реконструкцию здания МАОУДО СДЮСШОР г. Кандалакши с пристройкой спортивного зала. Наименование объекта закупки-проектно-сметная документация на реконструкцию здания МАОУДО СДЮСШОР с пристройкой спортивного зала. Планируемый результат закупки- проектно-сметная документация. Сроки осуществления закупки-до 31.12.2015  Предельный объем средств -1000 тыс. руб.</t>
  </si>
  <si>
    <t>выполнение работ по замене напольного покрытия</t>
  </si>
  <si>
    <t>МБОУ ООШ№5</t>
  </si>
  <si>
    <t>Выполнение работ по замене напольного покрытия</t>
  </si>
  <si>
    <t>Выполнение работ по замене асфальтового покрытия</t>
  </si>
  <si>
    <t>МБОУ ООШ№15</t>
  </si>
  <si>
    <t>3.2.</t>
  </si>
  <si>
    <t xml:space="preserve">Ремонт спортивного зала </t>
  </si>
  <si>
    <t>МБОУ СОШ №20</t>
  </si>
  <si>
    <t>Ремонт кровли</t>
  </si>
  <si>
    <t>Сертификация санной трассы</t>
  </si>
  <si>
    <t>МАУДО СДЮСШОР</t>
  </si>
  <si>
    <t>МДОУ №49</t>
  </si>
  <si>
    <t>Ремонт покрытий пола</t>
  </si>
  <si>
    <t xml:space="preserve">Капитальный ремонт пищеблока, замена технологического оборудования </t>
  </si>
  <si>
    <t>МБОУ ООШ№9</t>
  </si>
  <si>
    <t>План  реализации  подпрограммы  2 "Развитие  современной  инфраструктуры системы  образования"</t>
  </si>
  <si>
    <t>Обеспечение выполнения требований надзорных органов и технической безопасности организаций образования</t>
  </si>
  <si>
    <t>Основное мероприятие 3. Мероприятия, 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</si>
  <si>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Капитальный ремонт помещений пищеблоков и школьных столовых, оснащение пищеблоков образовательных организаций</t>
  </si>
  <si>
    <t>Обеспечение бесплатным цельным молоком либо питьевым молоком обучающихся 1-4 классов общеобразовательных организаций</t>
  </si>
  <si>
    <t>План  реализации  подпрограммы 1  "Развитие  дошкольного,  общего  и  дополнительного  образования"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</si>
  <si>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</si>
  <si>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дошкольного возраста</t>
    </r>
    <r>
      <rPr>
        <sz val="9"/>
        <color theme="1"/>
        <rFont val="Times New Roman"/>
        <family val="1"/>
        <charset val="204"/>
      </rPr>
      <t xml:space="preserve"> на дому и в дошкольных организациях </t>
    </r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</si>
  <si>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школьного возраста</t>
    </r>
    <r>
      <rPr>
        <sz val="9"/>
        <color theme="1"/>
        <rFont val="Times New Roman"/>
        <family val="1"/>
        <charset val="204"/>
      </rPr>
      <t xml:space="preserve"> на дому </t>
    </r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</si>
  <si>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</si>
  <si>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Всего  по подпрограмме 2 "Развитие  современной  инфраструктуры  системы  образования"</t>
  </si>
  <si>
    <t>Всего  по подпрограмме 1 "Развитие  дошкольного,  общего  и дополнительного  образования"</t>
  </si>
  <si>
    <t>Ремонт сантехнического оборудования, помещений мастерских</t>
  </si>
  <si>
    <t>МБДОУ №43</t>
  </si>
  <si>
    <t>Приобретение напольного покрытия</t>
  </si>
  <si>
    <t>МДОУ № 13</t>
  </si>
  <si>
    <t xml:space="preserve">Устройство теневых навесов </t>
  </si>
  <si>
    <t>Изменения</t>
  </si>
  <si>
    <t>Всего по подпрограмме</t>
  </si>
  <si>
    <t xml:space="preserve">ВСЕГО по программе </t>
  </si>
  <si>
    <t>снято( 18,0+36,0)</t>
  </si>
  <si>
    <t>3.3.</t>
  </si>
  <si>
    <t>3.4.</t>
  </si>
  <si>
    <t>3.5.</t>
  </si>
  <si>
    <t>3.6.</t>
  </si>
  <si>
    <t>3.7.</t>
  </si>
  <si>
    <t>4.2</t>
  </si>
  <si>
    <t>5.2.</t>
  </si>
  <si>
    <t>Замена оконных блоков в кабинетах начальной школы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</si>
  <si>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</si>
  <si>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</si>
  <si>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</si>
  <si>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Приобретение запасных частей для оборудования пищеблока</t>
  </si>
  <si>
    <t>Утверждено на  2016</t>
  </si>
  <si>
    <t>Уточнен план на  2016</t>
  </si>
  <si>
    <t>Организация работы Центра психолого-педагогической поддержки "Путь к успеху"</t>
  </si>
  <si>
    <t>Приобретение электроплит</t>
  </si>
  <si>
    <t>Приобретение строительных материалов, санитарно-технического  оборудования для проведения текущего ремонта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</si>
  <si>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</si>
  <si>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</si>
  <si>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Демонтаж,установка теневых навесов</t>
  </si>
  <si>
    <t>Разработка проекта освоения лесов</t>
  </si>
  <si>
    <t>Приобретение напольного покрытия и материалов для его укладки</t>
  </si>
  <si>
    <t xml:space="preserve">Разработка проектно-сметной документации на капитальный ремонт помещений 1-го этажа здания МБОУ ООШ №9 для размещения мастерских </t>
  </si>
  <si>
    <t>МБДОУ №35</t>
  </si>
  <si>
    <t>2.5.</t>
  </si>
  <si>
    <t>Приобретение лицензионной программы "Интернет контроль сервер" с сервером</t>
  </si>
  <si>
    <t xml:space="preserve">Приобретение материалов для косметического ремонта </t>
  </si>
  <si>
    <t>МАОУ ДО ЦДТ Вега</t>
  </si>
  <si>
    <t>Ремонт пищеблока , приобретение материалов  для ремонта, замена окон в пищеблоке</t>
  </si>
  <si>
    <t xml:space="preserve">  Подпрограмма  2 "Развитие  современной  инфраструктуры системы  образования"</t>
  </si>
  <si>
    <t>МБДОУ №32</t>
  </si>
  <si>
    <t>Ремонт АПС</t>
  </si>
  <si>
    <t>Приобретение материалов для замены розлива</t>
  </si>
  <si>
    <t>Приобретение ванны моечной двухсекционной</t>
  </si>
  <si>
    <t>Приобретение материалов для строительства веранды</t>
  </si>
  <si>
    <t>6.3.</t>
  </si>
  <si>
    <t>6.2.5</t>
  </si>
  <si>
    <t>Создание временных рабочих мест и других форм занятости в период летних каникул для несовершеннолетних граждан  в возрасте от 14 до 18 лет</t>
  </si>
  <si>
    <t>Ремонт системы видеонаблюдения</t>
  </si>
  <si>
    <t>Экономист МБУ "ИМЦ"                                                              Семянникова Е.Ю.</t>
  </si>
  <si>
    <t>2.1.4</t>
  </si>
  <si>
    <t>Разработка ПСД на реконструкцию здания начальной школы №17, создание дополнительных мест для детей в дошкольных организациях с. Алакуртти</t>
  </si>
  <si>
    <t>2016 год</t>
  </si>
  <si>
    <t>0701</t>
  </si>
  <si>
    <t>612</t>
  </si>
  <si>
    <t>34099</t>
  </si>
  <si>
    <t>0702</t>
  </si>
  <si>
    <t>622</t>
  </si>
  <si>
    <t>МБОУ СОШ №20,13</t>
  </si>
  <si>
    <t>Приобретение материалов для ремонта межпанельных швов</t>
  </si>
  <si>
    <t>приложение 3.1 к программе "Развитие образования Кандалакшского района и прочие мероприятия в области образования"</t>
  </si>
  <si>
    <t>План  реализации  подпрограммы  3 "Обеспечение  реализации  муниципальной  программы  и прочие  мероприятия  в  области  образования"</t>
  </si>
  <si>
    <t>Всего  по подпрограмме 3 "Обеспечение  реализации  муниципальной  программы   и прочие  мероприятия  в  области  образования"</t>
  </si>
  <si>
    <t>задача  1. "Обеспечение  реализации  муниципальной  программы  "Развитие  образования  Кандалакшского  района" и прочие  мероприятия  в  области  образования"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</si>
  <si>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</si>
  <si>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</si>
  <si>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</si>
  <si>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</si>
  <si>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</si>
  <si>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</si>
  <si>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Мероприятия для детей и молодежи</t>
  </si>
  <si>
    <t xml:space="preserve"> в том числе:</t>
  </si>
  <si>
    <t>Обновление и модернизация компьютерной и оргтехникив, т.ч. приобретение сервера и комплектующих к нему</t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</si>
  <si>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</si>
  <si>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</si>
  <si>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</si>
  <si>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</si>
  <si>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</si>
  <si>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Разработка ПСД на реконструкцию здания начальной школы №17</t>
  </si>
  <si>
    <t>приложение 4.1 "Вовлечение молодежи в социальную практику"</t>
  </si>
  <si>
    <t>План  реализации  подпрограммы 4  "Вовлечение  молодежи в  социальную практику"</t>
  </si>
  <si>
    <t>Всего  по подпрограмме 4 "Вовлечение молодежи в социальную практику"</t>
  </si>
  <si>
    <t>Задача 1. "Вовлечение  молодежи в  социальную практику"</t>
  </si>
  <si>
    <r>
      <rPr>
        <b/>
        <sz val="10"/>
        <color theme="1"/>
        <rFont val="Times New Roman"/>
        <family val="1"/>
        <charset val="204"/>
      </rPr>
      <t>Основное  мероприятие 1.</t>
    </r>
    <r>
      <rPr>
        <sz val="10"/>
        <color theme="1"/>
        <rFont val="Times New Roman"/>
        <family val="1"/>
        <charset val="204"/>
      </rPr>
      <t xml:space="preserve">                                       "Проведение  комплекса  мероприятий, направленных на  поддержку  молодежных инициатив"</t>
    </r>
  </si>
  <si>
    <t>Управление образования,ОУ, ИМЦ</t>
  </si>
  <si>
    <t>Проведение  комплекса  мероприятий, направленных на  поддержку  молодежных нициатив (в т.ч.спортивный фестиваль,соревнования)</t>
  </si>
  <si>
    <t>Задача  2.   "Содействие  развитию потенциала талантливой  молодежи""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</si>
  <si>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2. </t>
    </r>
    <r>
      <rPr>
        <sz val="10"/>
        <color theme="1"/>
        <rFont val="Times New Roman"/>
        <family val="1"/>
        <charset val="204"/>
      </rPr>
      <t xml:space="preserve">                                        "Организация  и  проведение  районных мероприятий  интеллектуальной, творческой  и спортивной направленности"</t>
    </r>
  </si>
  <si>
    <t>Организация  и  проведение  районных мероприятий интеллектуальной, творческой  и спортивной направленности"</t>
  </si>
  <si>
    <t xml:space="preserve">3.2.1.8.Обеспечение бесплатным цельным молоком либо питьевым молоком обучающихся 1-4 классов общеобразовательных учреждений </t>
  </si>
  <si>
    <t xml:space="preserve">3.2.1.9.Предоставление бесплатного питания отдельным категориям обучающихся </t>
  </si>
  <si>
    <t xml:space="preserve">3.2.1.10.Приобретение мягкого инвентаря для муниципального бюджетного общеобразовательного учреждения "Основная общеобразовательная школа № 9" ( 1- й класс полного дня) </t>
  </si>
  <si>
    <t>Проведение муниципального этапа фестиваля «Кораблик надежды»</t>
  </si>
  <si>
    <t>Фестиваль художественного творчества людей с ОВЗ»</t>
  </si>
  <si>
    <t>Организация и проведение Мастер-класса «Шерстяное чудо» (изготовление игрушки в технике валяния)(приобретение расходных материалов)</t>
  </si>
  <si>
    <t>Конкурс рисунков для детей с ОВЗ «Природа Кольского Севера»</t>
  </si>
  <si>
    <t>Проведение Клуба выходного дня для детей с ОВЗ (реализация Программы по гарденотерапии с элементами анималотерапии):Экскурсия в г. Апатиты в клуб по иппотерапии. Приобретение тактильной игры (песочница, набор кварцевого песка)</t>
  </si>
  <si>
    <r>
      <t>Проведение Мастер класса «Я много умею, я много могу, вас обучу и вам покажу» (Дети с ОВЗ для взрослых)-</t>
    </r>
    <r>
      <rPr>
        <b/>
        <sz val="10"/>
        <color theme="1"/>
        <rFont val="Times New Roman"/>
        <family val="1"/>
        <charset val="204"/>
      </rPr>
      <t>финансирование за счет лимитов учреждения</t>
    </r>
  </si>
  <si>
    <t>Клуб выходного дня «Пока мамы нет рядом»</t>
  </si>
  <si>
    <t>Организация и проведение спортивных соревнований по лыжным гонкам памяти Н.К.Варламовой для детей с ОВЗ</t>
  </si>
  <si>
    <t>-лёгкая атлетика</t>
  </si>
  <si>
    <t>финансирование за счет лимитов учреждения</t>
  </si>
  <si>
    <t>-многоборье</t>
  </si>
  <si>
    <t>-мини-футбол</t>
  </si>
  <si>
    <t>-плавание</t>
  </si>
  <si>
    <t>-лыжные гонки</t>
  </si>
  <si>
    <t>Создание доступных мест отдыха для людей с ОВЗ на «тропе здоровья» в рамках социального проекта ЦРТДиЮ «Тропа здоровья-2»</t>
  </si>
  <si>
    <t>приложение 5.1 "оказание мер социальной поддержки детям сиротам и детям, оставшимся без попечения родителей, лицам из их числа"</t>
  </si>
  <si>
    <t xml:space="preserve">План реализации подрограммы 5"Оказание мер социальной поддержки детям-сиротам  и детям,оставшимся без попечения родителей,лицам из их числа" </t>
  </si>
  <si>
    <t xml:space="preserve">ОСТАВШИМСЯ БЕЗ ПОПЕЧЕНИЯ РОДИТЕЛЕЙ, ЛИЦАМ ИЗ ИХ ЧИСЛА" </t>
  </si>
  <si>
    <t>Всего  по подпрограмме 5 "Оказание мер социальной поддержки детям-сиротам и детям, оставшимся без попечения родителей, лицам из их числа"</t>
  </si>
  <si>
    <t>Задача    1. "Развитие семейных форм устройства детей-сирот и детей, оставшихся без попечения родителей"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</si>
  <si>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  </r>
  </si>
  <si>
    <t>Управление образования, администрация мо Кандалакшский район</t>
  </si>
  <si>
    <t>Содержание ребенка в семье опекуна (попечителя) и приемной семье, а также вознаграждение, причитающееся приемному родителю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</si>
  <si>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2.       </t>
    </r>
    <r>
      <rPr>
        <sz val="10"/>
        <color theme="1"/>
        <rFont val="Times New Roman"/>
        <family val="1"/>
        <charset val="204"/>
      </rPr>
      <t>"Мероприятия для детей-сирот, детей, оставшихся без попечения родителей, и лиц из их числа"</t>
    </r>
  </si>
  <si>
    <t>Мероприятия для детей-сирот, детей, оставшихся без попечения родителей, и лиц из их числа</t>
  </si>
  <si>
    <t>Задача 2.  "Обеспечение защиты прав воспитанников из числа детей-сирот и детей, оставшихся без попечения родителей, лиц из их числа,профилактика социального сиротства"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</si>
  <si>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</si>
  <si>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>Выплата вознаграждения лицам, осуществляющим социальный и постинтернатный патронат</t>
  </si>
  <si>
    <t>Разработка ПСД на выполнение работ по замене оборудования системы водоподготовки бассейна</t>
  </si>
  <si>
    <t>Ремонт вентиляционных шахт здания</t>
  </si>
  <si>
    <t xml:space="preserve">  Подпрограмма  1 "Развитие  дошкольного,  общего  и  дополнительного  образования"</t>
  </si>
  <si>
    <t>Приобретение материалов для выполнения ремонтных работ, замена оконных блоков</t>
  </si>
  <si>
    <t>Приобретение холодильника</t>
  </si>
  <si>
    <t>МБДОУ №41</t>
  </si>
  <si>
    <t>Приобретение материалов для установки перил на лестнице</t>
  </si>
  <si>
    <t>Приобретение и заправка огнетушителей</t>
  </si>
  <si>
    <t>МАДОУ №55</t>
  </si>
  <si>
    <t>Приобретение инструментов для РЭУ</t>
  </si>
  <si>
    <t>МБУ "ЦБ"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</si>
  <si>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</si>
  <si>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</si>
  <si>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</si>
  <si>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</si>
  <si>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</si>
  <si>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</si>
  <si>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</si>
  <si>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</si>
  <si>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</si>
  <si>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</si>
  <si>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</si>
  <si>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</si>
  <si>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</si>
  <si>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</si>
  <si>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</si>
  <si>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</si>
  <si>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</si>
  <si>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</si>
  <si>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</si>
  <si>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</si>
  <si>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</si>
  <si>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</si>
  <si>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</si>
  <si>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</si>
  <si>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</si>
  <si>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</si>
  <si>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</si>
  <si>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МАО ДО ЦДТ Вега</t>
  </si>
  <si>
    <t>Ремонт бассейна</t>
  </si>
  <si>
    <t>УО, ОУ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</si>
  <si>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</si>
  <si>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</si>
  <si>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</si>
  <si>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</si>
  <si>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</si>
  <si>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</si>
  <si>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</si>
  <si>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</si>
  <si>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</si>
  <si>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</si>
  <si>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</si>
  <si>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</si>
  <si>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</si>
  <si>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</si>
  <si>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</si>
  <si>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</si>
  <si>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</si>
  <si>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</si>
  <si>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</si>
  <si>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</si>
  <si>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</si>
  <si>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</si>
  <si>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</si>
  <si>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</si>
  <si>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</si>
  <si>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</si>
  <si>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</si>
  <si>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</si>
  <si>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</si>
  <si>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</si>
  <si>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</si>
  <si>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</si>
  <si>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</si>
  <si>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</si>
  <si>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</si>
  <si>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</si>
  <si>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</si>
  <si>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</si>
  <si>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</si>
  <si>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</si>
  <si>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</si>
  <si>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</si>
  <si>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</si>
  <si>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</si>
  <si>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</si>
  <si>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</si>
  <si>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</si>
  <si>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</si>
  <si>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</si>
  <si>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</si>
  <si>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</si>
  <si>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</si>
  <si>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</si>
  <si>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</si>
  <si>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</si>
  <si>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</si>
  <si>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</si>
  <si>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</si>
  <si>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</si>
  <si>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</si>
  <si>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</si>
  <si>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</si>
  <si>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</si>
  <si>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</si>
  <si>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</si>
  <si>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</si>
  <si>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</si>
  <si>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</si>
  <si>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</si>
  <si>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</si>
  <si>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</si>
  <si>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</si>
  <si>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</si>
  <si>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</si>
  <si>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</si>
  <si>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</si>
  <si>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</si>
  <si>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 xml:space="preserve">Приобретениение школьных автобусов </t>
  </si>
  <si>
    <t>1.11.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</si>
  <si>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</si>
  <si>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Приобретение строительных материалов для ремонта помещений</t>
  </si>
  <si>
    <t>Установка сантехнических кабин</t>
  </si>
  <si>
    <t>Текущий ремонт кровли</t>
  </si>
  <si>
    <t>Ремонт асфальтового покрытия</t>
  </si>
  <si>
    <t>Работы по замене водоподогревателя на скоростной теплообменник для горячего водоснабжения, включая разработку ПСД</t>
  </si>
  <si>
    <t>Ремонт канализационных колодцев</t>
  </si>
  <si>
    <t>Разработка ПСД для дошкольной группы в СОШ №13</t>
  </si>
  <si>
    <t>МБДОУ №12, МДОУ</t>
  </si>
  <si>
    <t xml:space="preserve">Капитальный ремонт кровли </t>
  </si>
  <si>
    <t>МАДОУ №27</t>
  </si>
  <si>
    <t>Монтаж и установка АПС</t>
  </si>
  <si>
    <t>8.</t>
  </si>
  <si>
    <t>монтаж и пусконаладочные работы по охранно-тревожной сигнализации</t>
  </si>
  <si>
    <t>Основное мероприятие 8.         Мероприятия по повышению престижа педагогической профессии</t>
  </si>
  <si>
    <t>Основное мероприятие 7.   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</si>
  <si>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МДОУ, МАОУ СОШ №3</t>
  </si>
  <si>
    <t>Оснащение материально-технической базы бассейна</t>
  </si>
  <si>
    <t>МКУ ЦБ,ИМЦ</t>
  </si>
  <si>
    <t>МКУ ЦБ</t>
  </si>
  <si>
    <t>МКУ ЦБ, МКУ ИМЦ</t>
  </si>
  <si>
    <t xml:space="preserve"> МКУ ЦБ, МКУ ИМЦ</t>
  </si>
  <si>
    <t>Управление образования,ОУ, МКУ ИМЦ</t>
  </si>
  <si>
    <t>МАУ ДО ДЮЦ "Ровесник"</t>
  </si>
  <si>
    <t>МАУ ДО ДШИ 2</t>
  </si>
  <si>
    <t>МАУ ДО ДЭБС</t>
  </si>
  <si>
    <t>управление образования, МКУ «ИМЦ», образовательные учреждения</t>
  </si>
  <si>
    <r>
      <t>МАУ ДО ЦРТДиЮ</t>
    </r>
    <r>
      <rPr>
        <b/>
        <sz val="9"/>
        <color theme="1"/>
        <rFont val="Times New Roman"/>
        <family val="1"/>
        <charset val="204"/>
      </rPr>
      <t xml:space="preserve"> </t>
    </r>
  </si>
  <si>
    <t>Направление футбольной команды для участия в международном турнире по футболу</t>
  </si>
  <si>
    <t>Ремонт водостока, коридора</t>
  </si>
  <si>
    <t>Ремонт лестничных клеток</t>
  </si>
  <si>
    <t>Приобретение строительных материалов для замены напольного покрытия</t>
  </si>
  <si>
    <t>Косметический ремонт спортивного зала</t>
  </si>
  <si>
    <t>Ремонт покрытий пола спортивного зала</t>
  </si>
  <si>
    <t>Приобретение линолеума</t>
  </si>
  <si>
    <t>Ремонт кровли, частичный ремонт фасада, устройство конструктивных элементов здания, ремонт пристройки</t>
  </si>
  <si>
    <t>Косметический ремонт помещений</t>
  </si>
  <si>
    <t>Мероприятия по установке (ремонту, восстановлению) периметральных ограждений образовательных организаций</t>
  </si>
  <si>
    <t>МАУ ДО ЦДТ Вега</t>
  </si>
  <si>
    <t>МБДОУ №19,57</t>
  </si>
  <si>
    <t>Приобретение водонагревателя, сантехнического оборудования и расходных материалов</t>
  </si>
  <si>
    <t xml:space="preserve">Организация отдыха детей в возрасте от 6 до 18 лет в оздоровительных организациях с дневным пребыванием, организованных на базе муниципальных образовательных организаций </t>
  </si>
  <si>
    <t>Организация отдыха детей в возрасте от 6 до 18 лет в профильных лагерях, организованных в муниципальных образовательных организациях, в том числе:</t>
  </si>
  <si>
    <r>
      <t xml:space="preserve"> </t>
    </r>
    <r>
      <rPr>
        <b/>
        <sz val="9"/>
        <color theme="1"/>
        <rFont val="Times New Roman"/>
        <family val="1"/>
        <charset val="204"/>
      </rPr>
      <t>в палаточных лагерях, экспедициях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</si>
  <si>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на площадках</t>
    </r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</si>
  <si>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</t>
  </si>
  <si>
    <t>Приобретение душевых поддонов и материалов для их замены</t>
  </si>
  <si>
    <t>МБОУ СОШ №11, МБОУ СОШ№13,МАОУ СОШ №3</t>
  </si>
  <si>
    <t>Ремонт спортивного  зала, приобретение спортивного инвентаря, ремонт чаши бассейна</t>
  </si>
  <si>
    <t>Организация  отдыха  и  оздоровления  детей  в  областных  оздоровительных учреждениях ("Гандвиг")</t>
  </si>
  <si>
    <t>Приобретение материалов для замены напольного покрытия, приобретение детских кроватей</t>
  </si>
  <si>
    <t>2.3.3.</t>
  </si>
  <si>
    <t>Мероприятия по переоборудованию здания мастерских ООШ №9  в спорт. комплекс ДЮСШ</t>
  </si>
  <si>
    <t>МДОУ №48, МБДОУ №1</t>
  </si>
  <si>
    <t>МБДОУ №12, МБДОУ №57</t>
  </si>
  <si>
    <t>Ремонт бассейна, ремонт системы водоподготовки бассейна</t>
  </si>
  <si>
    <t>МАОУ СОШ №3, МАДОУ №27</t>
  </si>
  <si>
    <t>МБОУ СОШ №6, МБОУ ООШ №15, МБОУ СОШ №13</t>
  </si>
  <si>
    <t xml:space="preserve">Ремонт автомобиля </t>
  </si>
  <si>
    <t>Приобретение биотуалета, дачного умывальника с подогревом</t>
  </si>
  <si>
    <t>МАУ ДО ЦДТ "Вега"</t>
  </si>
  <si>
    <t>Ремонт системы наружного освещения территории стадиона школы</t>
  </si>
  <si>
    <t>Ремонт крылец ,отмостков здания</t>
  </si>
  <si>
    <t>МБУ ЦБ, МБОУ СОШ №1</t>
  </si>
  <si>
    <t>Приобретение светильников и стройматериалов</t>
  </si>
  <si>
    <t xml:space="preserve">выполнение работ по ремонту потолочного покрытия актового (большого) зала с  заменой  светильников </t>
  </si>
  <si>
    <t>МБОУ ООШ №5, МБУ ДМШ</t>
  </si>
  <si>
    <t>МБОУ СОШ №11, МБОУ СОШ №2</t>
  </si>
  <si>
    <t>Ремонт переливного лотка, герметизация стыков покрытия здания плавательного бассейна</t>
  </si>
  <si>
    <t>МАУ ДО ЦРТДиЮ, МАУ ДО ЦДТ, Вега</t>
  </si>
  <si>
    <t>МБОУ СОШ №20, МАУ ДО ЦРТДиЮ</t>
  </si>
  <si>
    <t>Косметический ремонт в концертном зале</t>
  </si>
  <si>
    <t>МБУ ДМШ</t>
  </si>
  <si>
    <t>Ремонт крыльца с установкой пандуса</t>
  </si>
  <si>
    <t>МБДОУ №24,48,62</t>
  </si>
  <si>
    <t>ДОУ №3,57</t>
  </si>
  <si>
    <t>Мероприятия по поддержке отрасли культуры в сфере образования</t>
  </si>
  <si>
    <t>2.3.4.</t>
  </si>
  <si>
    <t>2.3.5</t>
  </si>
  <si>
    <t>Замена светильников к классным доскам, замена линолеума</t>
  </si>
  <si>
    <t>Мероприятия спортивной направленности</t>
  </si>
  <si>
    <t>Ремонт,устройство теневых навесов</t>
  </si>
  <si>
    <t>приложение 6.1 "Обеспечение деятельности учреждений в области физической культуры и спорта"</t>
  </si>
  <si>
    <t>Всего  по подпрограмме 6 "Обеспечение деятельности учреждений в области культуры и спорта"</t>
  </si>
  <si>
    <t>Задача    1. "Осуществение подготовки высококвалифицированных спортсменов"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</si>
  <si>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"Обеспечение деятельности учреждений в области физической культуры и спорта"</t>
    </r>
  </si>
  <si>
    <t>Обеспечение деятельности учреждений в области физической культуры и спорта</t>
  </si>
  <si>
    <t>№6</t>
  </si>
  <si>
    <t>Установка 2-х ступенчатого  пластинчатого теплообменника, включая разработку ПСД</t>
  </si>
  <si>
    <t>Установка узла учета тепловой энергии</t>
  </si>
  <si>
    <t>Приобретение оборудования для проведения занятий по робототехнике</t>
  </si>
  <si>
    <t>Установка стеклопакетов</t>
  </si>
  <si>
    <t>Частичный ремонт фасада здания</t>
  </si>
  <si>
    <t>МАУ ДО МЦДТ Вега</t>
  </si>
  <si>
    <t>4.4.</t>
  </si>
  <si>
    <t>Внедрение системы на основе принципов ХАССП</t>
  </si>
  <si>
    <t>МАУ ДО ЦДТ Вега, МАОУ СОШ №3</t>
  </si>
  <si>
    <t>МКУ Спортивная школа по санному спорту</t>
  </si>
  <si>
    <t>МБОУ СОШ №11, МБОУ СОШ №2, МБДОУ №24</t>
  </si>
  <si>
    <t>МБДОУ №19, МБОУ ООШ №9</t>
  </si>
  <si>
    <t>Приобретение светильников</t>
  </si>
  <si>
    <t xml:space="preserve">Оказание услуг по контролю за качеством выполнения работ по текущему ремонту кровли здания </t>
  </si>
  <si>
    <t>УО,МАУ ДО ДЮЦ Ровесник им. С.А.Крыловой</t>
  </si>
  <si>
    <t>Основное мероприятие 6. Приобретение недвижимого имущества</t>
  </si>
  <si>
    <t xml:space="preserve"> Приобретение нежилого строения с земельным участком</t>
  </si>
  <si>
    <t>Создание временных рабочих мест и других форм занятости  для несовершеннолетних граждан  в возрасте от 14 до 18 лет</t>
  </si>
  <si>
    <t>Организация питания официальных делегаций</t>
  </si>
  <si>
    <t>6.4</t>
  </si>
  <si>
    <t>Комитет имущественных отношений и территориального планирования</t>
  </si>
  <si>
    <t>Разработка ПСД физкультурно-оздоровительного комплекса для обеспечения МАУ ДО ДЮСШ спортивными площадями</t>
  </si>
  <si>
    <t>МБДОУ №19,12</t>
  </si>
  <si>
    <t>МБДОУ №53,12</t>
  </si>
  <si>
    <t>Замена противопожарных люков</t>
  </si>
  <si>
    <t xml:space="preserve">Приобретение музыкального оборудования </t>
  </si>
  <si>
    <t>Разработка ПСД на выполнение ремонтных работ в ОУ</t>
  </si>
  <si>
    <t>1.12</t>
  </si>
  <si>
    <t>МАОУ ДО ДЮСШ</t>
  </si>
  <si>
    <t>МАОУ ДО СДЮСШОР</t>
  </si>
  <si>
    <t>Управление образования, ОУ, МАУ ДО Вега</t>
  </si>
  <si>
    <t>МАУДО СДЮСШОР, МКУ "СШ по санному спорту"</t>
  </si>
  <si>
    <t xml:space="preserve">Замена оконных блоков </t>
  </si>
  <si>
    <t>ОУ,УО, МКУ "ЦБ УО, МКУ ИМЦ</t>
  </si>
  <si>
    <t>Ремонт вентялиционных шахт кровли здания</t>
  </si>
  <si>
    <t>Установка аэраторов на кровле здания</t>
  </si>
  <si>
    <t>МБДОУ 16</t>
  </si>
  <si>
    <t>Установка пластинчатых водонагревателей включая разработку ПСД</t>
  </si>
  <si>
    <t>ОУ, МКУ ЦБ УО</t>
  </si>
  <si>
    <t xml:space="preserve">Создание безбарьерной среды для обучающихся с ограниченными возможностями здоровья в образовательных организациях </t>
  </si>
  <si>
    <t>Основное мероприятие Е2. Федеральный проект "Успех каждого ребенка"</t>
  </si>
  <si>
    <t>Основное мероприятие 7. Расходы местного бюджета на реализацию проектов по поддержке местных инициатив</t>
  </si>
  <si>
    <t>Задача  3. "Развитие современной информационной и телекоммуникационной инфраструктуры системы образования" , иные мероприятия связанные с развитием современной инфрастуктуры системы образования</t>
  </si>
  <si>
    <t>ДОУ №10,16,4,15,19,24,48,52,55; Школы 1,9,15,19, ДШИ 2</t>
  </si>
  <si>
    <t>МДОУ №20,53</t>
  </si>
  <si>
    <t>МБОУ ООШ №2,5,9</t>
  </si>
  <si>
    <t>МБОУ СОШ №11, ДОУ12,15,16,62</t>
  </si>
  <si>
    <t>МБДОУ №15,19,20,53,62</t>
  </si>
  <si>
    <t>Ремонт крыльца; Ремонт отмостки</t>
  </si>
  <si>
    <t>МДОУ № 48,53</t>
  </si>
  <si>
    <t xml:space="preserve">Ремонт  музыкального зала с заменой оконных и балконных блоков </t>
  </si>
  <si>
    <t>МБДОУ 10</t>
  </si>
  <si>
    <t>Ремонт пищеблока</t>
  </si>
  <si>
    <t>МБДОУ 15</t>
  </si>
  <si>
    <t>Установка защитных экранов</t>
  </si>
  <si>
    <t>МБДОУ 19</t>
  </si>
  <si>
    <t xml:space="preserve">План реализации подпрограммы 6 "Обеспечение деятельности учреждений в области физической культуры и спорта" </t>
  </si>
  <si>
    <t>Мероприятия по оснащению медицинских кабинетов в образовательных  организациях для получения лицензии на медицинскую деятельность</t>
  </si>
  <si>
    <t>Оснащение медицинских кабинетов в образовательных организациях, в связи с необходимостью их лицензирования</t>
  </si>
  <si>
    <t>Ремонтно-восстановительные мероприятия</t>
  </si>
  <si>
    <t>МБДОУ №10,МБОУ СОШ №2</t>
  </si>
  <si>
    <t xml:space="preserve"> МАУ ДО ЦРТДиЮ, МДОУ №63, СОШ №10,6, ОУ,МАУ ДО ДШИ 2</t>
  </si>
  <si>
    <t>МБДОУ №52, УО, ОУ, МБОУ СОШ №13</t>
  </si>
  <si>
    <t>Ремонт спортивного зала, замена оконных и балконных блоков</t>
  </si>
  <si>
    <t>1.13</t>
  </si>
  <si>
    <t>1.14</t>
  </si>
  <si>
    <t>Предпроектные работы по пристройке помещений к зданию СОШ №3 с.Алакуртти для размещения дополнительных 10 классов на 200 учеников</t>
  </si>
  <si>
    <t>Проведение работ по уточнению границ земельного участка (требоания Росреестра)</t>
  </si>
  <si>
    <t>ОУ, УО, МБОУ СОШ №13</t>
  </si>
  <si>
    <t>Внеб.</t>
  </si>
  <si>
    <t>МБУ ИМЦ, МАУ ДО ДЮЦ Ровесник</t>
  </si>
  <si>
    <t>Внебюдж</t>
  </si>
  <si>
    <t>Расходы на технологическое присоединение объекта "ФОК со специализированной школой самбо, дзюдо и вольной борьбе в г.Кандалакша"</t>
  </si>
  <si>
    <t>Оборудование универсальной спортивной площадки</t>
  </si>
  <si>
    <t>Разработка ПСД школы с.Зареченск, Белое Море, п.г.т. Зеленоборский; Проведение экспетизы сметной документации МБОУ СОШ №6, МАОУ СОШ №10</t>
  </si>
  <si>
    <t xml:space="preserve"> МБОУ СОШ №6, МАОУ СОШ №10, ОУ,УО</t>
  </si>
  <si>
    <r>
      <t>Обеспечение сохранения уровня заработной платы (</t>
    </r>
    <r>
      <rPr>
        <b/>
        <sz val="9"/>
        <color theme="1"/>
        <rFont val="Times New Roman"/>
        <family val="1"/>
        <charset val="204"/>
      </rPr>
      <t>выполнение Указов президента</t>
    </r>
    <r>
      <rPr>
        <sz val="9"/>
        <color theme="1"/>
        <rFont val="Times New Roman"/>
        <family val="1"/>
        <charset val="204"/>
      </rPr>
      <t>)</t>
    </r>
  </si>
  <si>
    <r>
      <t>Реализация мер социальной поддержки (</t>
    </r>
    <r>
      <rPr>
        <b/>
        <sz val="9"/>
        <color theme="1"/>
        <rFont val="Times New Roman"/>
        <family val="1"/>
        <charset val="204"/>
      </rPr>
      <t>25% селькая местность</t>
    </r>
    <r>
      <rPr>
        <sz val="9"/>
        <color theme="1"/>
        <rFont val="Times New Roman"/>
        <family val="1"/>
        <charset val="204"/>
      </rPr>
      <t>)</t>
    </r>
  </si>
  <si>
    <r>
      <t>Доведение оплаты труда до минимального размера оплаты труда (</t>
    </r>
    <r>
      <rPr>
        <b/>
        <sz val="9"/>
        <color theme="1"/>
        <rFont val="Times New Roman"/>
        <family val="1"/>
        <charset val="204"/>
      </rPr>
      <t>обеспечение МРОТ</t>
    </r>
    <r>
      <rPr>
        <sz val="9"/>
        <color theme="1"/>
        <rFont val="Times New Roman"/>
        <family val="1"/>
        <charset val="204"/>
      </rPr>
      <t>)</t>
    </r>
  </si>
  <si>
    <t>1.15</t>
  </si>
  <si>
    <t>9.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</si>
  <si>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 xml:space="preserve">в  общеобразовательных  организациях                 </t>
    </r>
    <r>
      <rPr>
        <b/>
        <u/>
        <sz val="9"/>
        <color theme="1"/>
        <rFont val="Times New Roman"/>
        <family val="1"/>
        <charset val="204"/>
      </rPr>
      <t>из них</t>
    </r>
    <r>
      <rPr>
        <b/>
        <u/>
        <sz val="11"/>
        <color theme="1"/>
        <rFont val="Times New Roman"/>
        <family val="1"/>
        <charset val="204"/>
      </rPr>
      <t>: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</si>
  <si>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 xml:space="preserve">дополнительного  образования                                       </t>
    </r>
    <r>
      <rPr>
        <b/>
        <u/>
        <sz val="11"/>
        <color theme="1"/>
        <rFont val="Times New Roman"/>
        <family val="1"/>
        <charset val="204"/>
      </rPr>
      <t>из них:</t>
    </r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</si>
  <si>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  <r>
      <rPr>
        <b/>
        <sz val="11"/>
        <color theme="1"/>
        <rFont val="Times New Roman"/>
        <family val="1"/>
        <charset val="204"/>
      </rPr>
      <t xml:space="preserve">                 </t>
    </r>
    <r>
      <rPr>
        <b/>
        <u/>
        <sz val="11"/>
        <color theme="1"/>
        <rFont val="Times New Roman"/>
        <family val="1"/>
        <charset val="204"/>
      </rPr>
      <t>из них:</t>
    </r>
  </si>
  <si>
    <r>
      <t xml:space="preserve">Содержание и функционирование бассейна            </t>
    </r>
    <r>
      <rPr>
        <b/>
        <u/>
        <sz val="9"/>
        <color theme="1"/>
        <rFont val="Times New Roman"/>
        <family val="1"/>
        <charset val="204"/>
      </rPr>
      <t>из них:</t>
    </r>
  </si>
  <si>
    <t>Приобретение материалов для ремонта электрощитовой, , систем автоматического пожаротушения,  кабельных линий</t>
  </si>
  <si>
    <t>МБДОУ №4 ; ОУ</t>
  </si>
  <si>
    <t xml:space="preserve">Приобретение материалов и оборудования для обеспечения пожарной безопасности </t>
  </si>
  <si>
    <t>Замена  входных дверей</t>
  </si>
  <si>
    <t>МАУ ДО ДЮЦ Ровесник, ОУ</t>
  </si>
  <si>
    <t>Капитальный ремонт стадиона пгт.Зеленоборский</t>
  </si>
  <si>
    <t>МБДОУ №12, МБОУ СОШ №6</t>
  </si>
  <si>
    <t>3.8.</t>
  </si>
  <si>
    <t>МАДОУ №27, МБДОУ №16</t>
  </si>
  <si>
    <t>Организация очно-заочного обучения по общеобразовательным общеразвивающим программам дополнительного образования в с. Алакуртти</t>
  </si>
  <si>
    <t>Целевая поддержка  обучающихся,  достигших успехов  в  учебной  деятельности,  исследовательской  работе, искусстве,  творчестве  и спорте (премии  и стипендии администрации  муниципального  образования  Кандалакшский  район,  премия  "Надежда  Кандалакши", выпускников, награжденных медалью РФ "За особые успехи в учении", почетным знаком "Серебряная звезда")</t>
  </si>
  <si>
    <r>
      <rPr>
        <b/>
        <sz val="11"/>
        <color theme="1"/>
        <rFont val="Times New Roman"/>
        <family val="1"/>
        <charset val="204"/>
      </rPr>
      <t>Основное мероприятие 1.</t>
    </r>
    <r>
      <rPr>
        <sz val="11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</si>
  <si>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r>
      <rPr>
        <b/>
        <sz val="11"/>
        <color theme="1"/>
        <rFont val="Times New Roman"/>
        <family val="1"/>
        <charset val="204"/>
      </rPr>
      <t>Основное мероприятие 2.</t>
    </r>
    <r>
      <rPr>
        <sz val="11"/>
        <color theme="1"/>
        <rFont val="Times New Roman"/>
        <family val="1"/>
        <charset val="204"/>
      </rPr>
      <t xml:space="preserve"> "Мероприятия для детей и молодежи"</t>
    </r>
  </si>
  <si>
    <r>
      <rPr>
        <b/>
        <sz val="11"/>
        <color theme="1"/>
        <rFont val="Times New Roman"/>
        <family val="1"/>
        <charset val="204"/>
      </rPr>
      <t>Основное мероприятие 3.</t>
    </r>
    <r>
      <rPr>
        <sz val="11"/>
        <color theme="1"/>
        <rFont val="Times New Roman"/>
        <family val="1"/>
        <charset val="204"/>
      </rPr>
      <t xml:space="preserve">                         "Обновление и модернизация компьютерной и оргтехники" </t>
    </r>
  </si>
  <si>
    <r>
      <t>Основное мероприятие 4.</t>
    </r>
    <r>
      <rPr>
        <sz val="11"/>
        <color theme="1"/>
        <rFont val="Times New Roman"/>
        <family val="1"/>
        <charset val="204"/>
      </rPr>
      <t xml:space="preserve">               Прочие мероприятия в части исполнения судебных решений.</t>
    </r>
  </si>
  <si>
    <r>
      <t xml:space="preserve">Основное мероприятие 5. </t>
    </r>
    <r>
      <rPr>
        <sz val="11"/>
        <color theme="1"/>
        <rFont val="Times New Roman"/>
        <family val="1"/>
        <charset val="204"/>
      </rPr>
      <t>Оплата штрафов по представлениям надзорных органов</t>
    </r>
  </si>
  <si>
    <r>
      <rPr>
        <b/>
        <sz val="11"/>
        <color theme="1"/>
        <rFont val="Times New Roman"/>
        <family val="1"/>
        <charset val="204"/>
      </rPr>
      <t>Основное мероприятие 6.</t>
    </r>
    <r>
      <rPr>
        <sz val="11"/>
        <color theme="1"/>
        <rFont val="Times New Roman"/>
        <family val="1"/>
        <charset val="204"/>
      </rPr>
      <t xml:space="preserve">   Оснащение материально-технической базы муниципальных учреждений</t>
    </r>
  </si>
  <si>
    <r>
      <t>Основное мероприятие 7.</t>
    </r>
    <r>
      <rPr>
        <sz val="11"/>
        <color theme="1"/>
        <rFont val="Times New Roman"/>
        <family val="1"/>
        <charset val="204"/>
      </rPr>
      <t xml:space="preserve"> Повышение квалификации сотрудников муниципальных учреждений</t>
    </r>
  </si>
  <si>
    <r>
      <t xml:space="preserve">Основное мероприятие 8.  </t>
    </r>
    <r>
      <rPr>
        <sz val="11"/>
        <color theme="1"/>
        <rFont val="Times New Roman"/>
        <family val="1"/>
        <charset val="204"/>
      </rPr>
      <t>Оплата обязательств, возникших в отчетном году при исполнении муниципального задания</t>
    </r>
  </si>
  <si>
    <t>2.3.6.</t>
  </si>
  <si>
    <t>2.2.3</t>
  </si>
  <si>
    <t>Создание новых мест для реализации программ дополнительного образования</t>
  </si>
  <si>
    <t xml:space="preserve"> Внедрение целевой модели цифровой образовательной среды в общеобразовательных организациях</t>
  </si>
  <si>
    <t>Основное мероприятие 8. Мероприятия по благоустройству территории для оборудования спортивных площадок</t>
  </si>
  <si>
    <t>САДЫ ОБ</t>
  </si>
  <si>
    <t>Школы</t>
  </si>
  <si>
    <t>САДЫ</t>
  </si>
  <si>
    <t>ШКОЛЫ</t>
  </si>
  <si>
    <t>ДОП</t>
  </si>
  <si>
    <t>S</t>
  </si>
  <si>
    <t>P</t>
  </si>
  <si>
    <t>итого</t>
  </si>
  <si>
    <t>бассейн</t>
  </si>
  <si>
    <t>2.3.7</t>
  </si>
  <si>
    <t xml:space="preserve">Основное мероприятие Р5 Федеральный проект "Спорт-норма жизни" </t>
  </si>
  <si>
    <t xml:space="preserve">Перепланировка Дошкольной группы </t>
  </si>
  <si>
    <t>МАДОУ №27, ОУ</t>
  </si>
  <si>
    <t>п.1.16</t>
  </si>
  <si>
    <t>Субсидии на благоустройство зданий государственных и муниципальных общеобразовательных организаций в целях соблюдениятребований к воздушно-тепловому режиму, водоснабжению и канализации</t>
  </si>
  <si>
    <t xml:space="preserve">разработка проектной документации на обустройство эвакуационных выходов </t>
  </si>
  <si>
    <t xml:space="preserve">расширение эвакуационных выходов из групп 2 этажа </t>
  </si>
  <si>
    <t>проведение противопожарных мероприятий</t>
  </si>
  <si>
    <t xml:space="preserve">Разработка проекта на капитальный ремонт системы электроснабжения  </t>
  </si>
  <si>
    <t>СОШ №6</t>
  </si>
  <si>
    <t>Ремонт горячего цеха пищеблока</t>
  </si>
  <si>
    <t>2.3.9</t>
  </si>
  <si>
    <t>Ремонт актового зала СОШ №6 п.г.т.  Зеленоборский</t>
  </si>
  <si>
    <t>Замена оконных блоков  в актовом зале СОШ №6 п.г.т.  Зеленоборский</t>
  </si>
  <si>
    <t xml:space="preserve">Замена оконных блоков в спортивном зале  СОШ №6 п.г.т.  Зеленоборский  </t>
  </si>
  <si>
    <t>Ремонт спортивного зала СОШ №6 п.г.т.Зеленоборский</t>
  </si>
  <si>
    <t>Ремонт санузлов  СОШ №6 п.г.т.  Зеленоборский</t>
  </si>
  <si>
    <t>Замена напольного покрытия в столовой  ООШ №9</t>
  </si>
  <si>
    <t>Замена  напольного покрытия  в  классах ООШ №9</t>
  </si>
  <si>
    <t>Ремонт  помещений учебных классов  СОШ №11  н.п. Зареченск</t>
  </si>
  <si>
    <t>Ремонт помещений школы для размещения в них дошкольной группы в СОШ №13  н.п.  Белое Море</t>
  </si>
  <si>
    <t>Ремонт помещений пищеблока ООШ №15  н.п.  Нивский</t>
  </si>
  <si>
    <t>Ремонт помещений учебных классов ООШ №15 н.п. Нивский</t>
  </si>
  <si>
    <t xml:space="preserve">Замена оконных блоков в пищеблоке  ООШ №15  н.п. Нивский  </t>
  </si>
  <si>
    <t>10.</t>
  </si>
  <si>
    <t>11.</t>
  </si>
  <si>
    <t>12.</t>
  </si>
  <si>
    <t>Организация очно-заочного обучения в с. Алакуртти</t>
  </si>
  <si>
    <r>
      <t xml:space="preserve">Обновление и модернизация материально-технической базы , оснащения организаций системы образования современным учебным оборудованием, </t>
    </r>
    <r>
      <rPr>
        <b/>
        <sz val="9"/>
        <color rgb="FFFF0000"/>
        <rFont val="Times New Roman"/>
        <family val="1"/>
        <charset val="204"/>
      </rPr>
      <t>реализация новых образовательных программ.</t>
    </r>
  </si>
  <si>
    <t>Основное мероприятие Р2. Региональный проект "Содействие занятости женщин - создание условий дошкольного образования для детей в возрасте до трех лет", в том числе расходы на технологическое присоединение объекта капитального строительства "Детский сад на 75 мест в с. Алакуртти Кандалакшского района"</t>
  </si>
  <si>
    <t>Основное мероприятие Е1. Региональный проект "Современная школа". Создание МТБ ОО, расположенных в сельской местности и малых городах,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</t>
  </si>
  <si>
    <t>Основное мероприятие 9.  Создание центров цифрового и гуманитарного профилей "Точка роста"</t>
  </si>
  <si>
    <t>ВНБ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</si>
  <si>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9. </t>
    </r>
    <r>
      <rPr>
        <sz val="11"/>
        <color theme="1"/>
        <rFont val="Times New Roman"/>
        <family val="1"/>
        <charset val="204"/>
      </rPr>
      <t>Создание муниципального опорного центра дополнительного образования</t>
    </r>
  </si>
  <si>
    <t>п.1.17</t>
  </si>
  <si>
    <t>Проведение кадастровых работ в отношении земельного участка из зеиель леского фонда для оганизации трасс</t>
  </si>
  <si>
    <t xml:space="preserve">Замена  светильников </t>
  </si>
  <si>
    <t>МБОУ ООШ №9, СОШ №11</t>
  </si>
  <si>
    <t>Основное  мероприятие  1.    "Строительство,   реконструкция  и капитальный, текущий  ремонт организаций системы  образования, приобретение недвижимого имущества"</t>
  </si>
  <si>
    <t>Текущий ремонт фасада здания средней общеобразовательной школы в Кандалакше</t>
  </si>
  <si>
    <r>
      <t xml:space="preserve">Организация пропускного режима и контроля за внутренним распорядком в образовательных организациях, </t>
    </r>
    <r>
      <rPr>
        <b/>
        <sz val="9"/>
        <color theme="1"/>
        <rFont val="Times New Roman"/>
        <family val="1"/>
        <charset val="204"/>
      </rPr>
      <t>обслуживание КТС</t>
    </r>
  </si>
  <si>
    <t>2.3.10</t>
  </si>
  <si>
    <t>Обеспечение персонифицированного финансирования дополнительного образования детей</t>
  </si>
  <si>
    <t>2.3.11</t>
  </si>
  <si>
    <t>Обеспечение финансового сопровождения реализации проекта по персонифицированному финансированию</t>
  </si>
  <si>
    <t>МКУ ИМЦ</t>
  </si>
  <si>
    <t>Ремонт теплицы</t>
  </si>
  <si>
    <t>2.3.8</t>
  </si>
  <si>
    <r>
      <rPr>
        <b/>
        <u/>
        <sz val="12"/>
        <rFont val="Times New Roman"/>
        <family val="1"/>
        <charset val="204"/>
      </rPr>
      <t>Основное мероприятие Е2.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Региональный проект "Успех каждого ребенка"подпрограммы  "Развитие дошкольного, общего и дополнительного образования" государственной программы Мурманской области "Развитие образования". </t>
    </r>
    <r>
      <rPr>
        <b/>
        <u/>
        <sz val="9"/>
        <rFont val="Times New Roman"/>
        <family val="1"/>
        <charset val="204"/>
      </rPr>
      <t>Создание новых мест в образовательных организациях различных типов для реализации дополнительных общеобразвивающих программ всех направленностей</t>
    </r>
  </si>
  <si>
    <r>
      <rPr>
        <b/>
        <u/>
        <sz val="12"/>
        <rFont val="Times New Roman"/>
        <family val="1"/>
        <charset val="204"/>
      </rPr>
      <t xml:space="preserve">Основное мероприятие А1. </t>
    </r>
    <r>
      <rPr>
        <sz val="9"/>
        <rFont val="Times New Roman"/>
        <family val="1"/>
        <charset val="204"/>
      </rPr>
      <t>Поддержка отрасли культуры отрасли культуры</t>
    </r>
  </si>
  <si>
    <t>МБДОУ №53,20</t>
  </si>
  <si>
    <t>Разработка, корректировка  ПСД , проведение гос.экспертизы на строительство детского сада в с.Алакуртти на 75 мест</t>
  </si>
  <si>
    <t>Создание детского мини-технопарка "Квантолаб"</t>
  </si>
  <si>
    <t xml:space="preserve">Приложение к постановлению администрации </t>
  </si>
  <si>
    <t xml:space="preserve">муниципального образования Кандалакшский район </t>
  </si>
  <si>
    <t>Приобретение мебели для обеденного зала</t>
  </si>
  <si>
    <t>Снос и устройство теневых навесов</t>
  </si>
  <si>
    <t>Ремонт раздевалок в спортивном зале</t>
  </si>
  <si>
    <t>Разработка ПСД на снос теплицы с проведением экспертизы достоверности сметной стоимости</t>
  </si>
  <si>
    <t>обустройство эвакуационных выходов</t>
  </si>
  <si>
    <t>МБДОУ №49</t>
  </si>
  <si>
    <t>от 29.07.2020 № 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</si>
</sst>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#,##0.0000"/>
    <numFmt numFmtId="171" formatCode="0.0000"/>
    <numFmt numFmtId="172" formatCode="#,##0.000000"/>
    <numFmt numFmtId="173" formatCode="0.000000"/>
  </numFmts>
  <fonts count="7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FF0000"/>
      <name val="Calibri"/>
      <family val="2"/>
      <charset val="204"/>
      <scheme val="minor"/>
    </font>
    <font>
      <sz val="6"/>
      <color rgb="FFFF000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3" fillId="0" borderId="0"/>
    <xf numFmtId="9" fontId="13" fillId="0" borderId="0" applyFont="0" applyFill="0" applyBorder="0" applyAlignment="0" applyProtection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49" fontId="35" fillId="0" borderId="29">
      <alignment horizontal="center" vertical="top" shrinkToFit="1"/>
    </xf>
    <xf numFmtId="4" fontId="35" fillId="0" borderId="29">
      <alignment horizontal="right" vertical="top" shrinkToFit="1"/>
    </xf>
    <xf numFmtId="49" fontId="35" fillId="0" borderId="29">
      <alignment horizontal="center" vertical="top" shrinkToFit="1"/>
    </xf>
    <xf numFmtId="0" fontId="56" fillId="0" borderId="0"/>
    <xf numFmtId="49" fontId="57" fillId="0" borderId="29">
      <alignment horizontal="center" vertical="top" shrinkToFit="1"/>
    </xf>
    <xf numFmtId="4" fontId="58" fillId="0" borderId="29">
      <alignment horizontal="right" vertical="top" shrinkToFit="1"/>
    </xf>
    <xf numFmtId="1" fontId="57" fillId="0" borderId="29">
      <alignment horizontal="center" vertical="top" shrinkToFit="1"/>
    </xf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9" fillId="0" borderId="0"/>
    <xf numFmtId="0" fontId="57" fillId="16" borderId="0"/>
    <xf numFmtId="0" fontId="57" fillId="0" borderId="29">
      <alignment horizontal="center" vertical="center" wrapText="1"/>
    </xf>
    <xf numFmtId="1" fontId="57" fillId="0" borderId="29">
      <alignment horizontal="left" vertical="top" wrapText="1" indent="2"/>
    </xf>
    <xf numFmtId="0" fontId="57" fillId="0" borderId="0"/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16" borderId="0">
      <alignment shrinkToFi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8" fillId="0" borderId="29">
      <alignment horizontal="left"/>
    </xf>
    <xf numFmtId="0" fontId="57" fillId="0" borderId="29">
      <alignment horizontal="center" vertical="center" wrapText="1"/>
    </xf>
    <xf numFmtId="4" fontId="57" fillId="0" borderId="29">
      <alignment horizontal="right" vertical="top" shrinkToFit="1"/>
    </xf>
    <xf numFmtId="4" fontId="58" fillId="14" borderId="29">
      <alignment horizontal="right" vertical="top" shrinkToFit="1"/>
    </xf>
    <xf numFmtId="0" fontId="57" fillId="0" borderId="0">
      <alignment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0">
      <alignment horizontal="left" wrapText="1"/>
    </xf>
    <xf numFmtId="10" fontId="57" fillId="0" borderId="29">
      <alignment horizontal="right" vertical="top" shrinkToFit="1"/>
    </xf>
    <xf numFmtId="10" fontId="58" fillId="14" borderId="29">
      <alignment horizontal="right" vertical="top" shrinkToFit="1"/>
    </xf>
    <xf numFmtId="0" fontId="60" fillId="0" borderId="0">
      <alignment horizontal="center" wrapText="1"/>
    </xf>
    <xf numFmtId="0" fontId="60" fillId="0" borderId="0">
      <alignment horizontal="center"/>
    </xf>
    <xf numFmtId="0" fontId="57" fillId="0" borderId="0">
      <alignment horizontal="right"/>
    </xf>
    <xf numFmtId="0" fontId="57" fillId="0" borderId="0">
      <alignment vertical="top"/>
    </xf>
    <xf numFmtId="0" fontId="58" fillId="0" borderId="29">
      <alignment vertical="top" wrapText="1"/>
    </xf>
    <xf numFmtId="0" fontId="57" fillId="16" borderId="0">
      <alignment horizontal="center"/>
    </xf>
    <xf numFmtId="0" fontId="57" fillId="16" borderId="0">
      <alignment horizontal="left"/>
    </xf>
    <xf numFmtId="4" fontId="58" fillId="15" borderId="29">
      <alignment horizontal="right" vertical="top" shrinkToFit="1"/>
    </xf>
    <xf numFmtId="10" fontId="58" fillId="15" borderId="29">
      <alignment horizontal="right" vertical="top" shrinkToFit="1"/>
    </xf>
  </cellStyleXfs>
  <cellXfs count="1696">
    <xf numFmtId="0" fontId="0" fillId="0" borderId="0" xfId="0"/>
    <xf numFmtId="0" fontId="7" fillId="0" borderId="5" xfId="1" applyFont="1" applyBorder="1" applyAlignment="1">
      <alignment horizontal="left" wrapText="1"/>
    </xf>
    <xf numFmtId="0" fontId="7" fillId="4" borderId="5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0" fontId="12" fillId="0" borderId="5" xfId="1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12" fillId="4" borderId="5" xfId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2" borderId="2" xfId="0" applyFont="1" applyFill="1" applyBorder="1"/>
    <xf numFmtId="2" fontId="10" fillId="0" borderId="2" xfId="0" applyNumberFormat="1" applyFont="1" applyBorder="1"/>
    <xf numFmtId="166" fontId="8" fillId="4" borderId="2" xfId="1" applyNumberFormat="1" applyFont="1" applyFill="1" applyBorder="1" applyAlignment="1">
      <alignment horizontal="center"/>
    </xf>
    <xf numFmtId="166" fontId="8" fillId="5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10" fillId="0" borderId="2" xfId="0" applyFont="1" applyBorder="1"/>
    <xf numFmtId="165" fontId="2" fillId="0" borderId="2" xfId="0" applyNumberFormat="1" applyFont="1" applyBorder="1"/>
    <xf numFmtId="0" fontId="7" fillId="4" borderId="1" xfId="1" applyFont="1" applyFill="1" applyBorder="1" applyAlignment="1">
      <alignment horizontal="right" wrapText="1"/>
    </xf>
    <xf numFmtId="0" fontId="8" fillId="2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7" fontId="7" fillId="2" borderId="2" xfId="0" applyNumberFormat="1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3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right" wrapText="1"/>
    </xf>
    <xf numFmtId="167" fontId="7" fillId="4" borderId="2" xfId="1" applyNumberFormat="1" applyFont="1" applyFill="1" applyBorder="1" applyAlignment="1"/>
    <xf numFmtId="166" fontId="8" fillId="4" borderId="2" xfId="1" applyNumberFormat="1" applyFont="1" applyFill="1" applyBorder="1" applyAlignment="1"/>
    <xf numFmtId="167" fontId="7" fillId="4" borderId="2" xfId="0" applyNumberFormat="1" applyFont="1" applyFill="1" applyBorder="1" applyAlignment="1"/>
    <xf numFmtId="167" fontId="7" fillId="0" borderId="2" xfId="0" applyNumberFormat="1" applyFont="1" applyBorder="1"/>
    <xf numFmtId="167" fontId="8" fillId="2" borderId="2" xfId="0" applyNumberFormat="1" applyFont="1" applyFill="1" applyBorder="1"/>
    <xf numFmtId="167" fontId="8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7" fillId="2" borderId="2" xfId="0" applyNumberFormat="1" applyFont="1" applyFill="1" applyBorder="1" applyAlignment="1"/>
    <xf numFmtId="167" fontId="0" fillId="2" borderId="2" xfId="0" applyNumberFormat="1" applyFill="1" applyBorder="1"/>
    <xf numFmtId="0" fontId="10" fillId="0" borderId="1" xfId="0" applyFont="1" applyBorder="1"/>
    <xf numFmtId="4" fontId="7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left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wrapText="1"/>
    </xf>
    <xf numFmtId="0" fontId="16" fillId="0" borderId="3" xfId="1" applyFont="1" applyBorder="1" applyAlignment="1">
      <alignment horizontal="center" vertical="center" wrapText="1"/>
    </xf>
    <xf numFmtId="166" fontId="18" fillId="4" borderId="2" xfId="1" applyNumberFormat="1" applyFont="1" applyFill="1" applyBorder="1" applyAlignment="1">
      <alignment horizontal="center"/>
    </xf>
    <xf numFmtId="0" fontId="11" fillId="4" borderId="5" xfId="1" applyFont="1" applyFill="1" applyBorder="1" applyAlignment="1">
      <alignment horizontal="left" wrapText="1"/>
    </xf>
    <xf numFmtId="49" fontId="11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6" fillId="0" borderId="3" xfId="1" applyFont="1" applyBorder="1" applyAlignment="1">
      <alignment horizontal="center" wrapText="1"/>
    </xf>
    <xf numFmtId="49" fontId="16" fillId="5" borderId="2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center" wrapText="1"/>
    </xf>
    <xf numFmtId="0" fontId="16" fillId="5" borderId="8" xfId="1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/>
    </xf>
    <xf numFmtId="0" fontId="16" fillId="6" borderId="5" xfId="1" applyFont="1" applyFill="1" applyBorder="1" applyAlignment="1">
      <alignment horizontal="left" wrapText="1"/>
    </xf>
    <xf numFmtId="0" fontId="11" fillId="6" borderId="5" xfId="1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center"/>
    </xf>
    <xf numFmtId="0" fontId="11" fillId="0" borderId="5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49" fontId="16" fillId="4" borderId="5" xfId="1" applyNumberFormat="1" applyFont="1" applyFill="1" applyBorder="1" applyAlignment="1">
      <alignment horizontal="justify"/>
    </xf>
    <xf numFmtId="0" fontId="11" fillId="0" borderId="2" xfId="0" applyFont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/>
    </xf>
    <xf numFmtId="0" fontId="11" fillId="4" borderId="3" xfId="1" applyFont="1" applyFill="1" applyBorder="1" applyAlignment="1">
      <alignment horizontal="left" wrapText="1"/>
    </xf>
    <xf numFmtId="0" fontId="15" fillId="4" borderId="0" xfId="0" applyFont="1" applyFill="1"/>
    <xf numFmtId="0" fontId="23" fillId="4" borderId="5" xfId="1" applyFont="1" applyFill="1" applyBorder="1" applyAlignment="1">
      <alignment horizontal="center" wrapText="1"/>
    </xf>
    <xf numFmtId="49" fontId="16" fillId="4" borderId="3" xfId="1" applyNumberFormat="1" applyFont="1" applyFill="1" applyBorder="1" applyAlignment="1">
      <alignment horizontal="justify"/>
    </xf>
    <xf numFmtId="0" fontId="11" fillId="4" borderId="2" xfId="0" applyFont="1" applyFill="1" applyBorder="1"/>
    <xf numFmtId="49" fontId="22" fillId="6" borderId="5" xfId="1" applyNumberFormat="1" applyFont="1" applyFill="1" applyBorder="1" applyAlignment="1">
      <alignment horizontal="left" wrapText="1"/>
    </xf>
    <xf numFmtId="49" fontId="22" fillId="6" borderId="5" xfId="1" applyNumberFormat="1" applyFont="1" applyFill="1" applyBorder="1" applyAlignment="1">
      <alignment horizontal="center" wrapText="1"/>
    </xf>
    <xf numFmtId="49" fontId="11" fillId="4" borderId="5" xfId="1" applyNumberFormat="1" applyFont="1" applyFill="1" applyBorder="1" applyAlignment="1">
      <alignment wrapText="1"/>
    </xf>
    <xf numFmtId="0" fontId="11" fillId="0" borderId="5" xfId="1" applyFont="1" applyFill="1" applyBorder="1" applyAlignment="1">
      <alignment horizontal="left" wrapText="1"/>
    </xf>
    <xf numFmtId="0" fontId="16" fillId="6" borderId="4" xfId="1" applyFont="1" applyFill="1" applyBorder="1" applyAlignment="1">
      <alignment horizontal="center" wrapText="1"/>
    </xf>
    <xf numFmtId="49" fontId="16" fillId="6" borderId="5" xfId="1" applyNumberFormat="1" applyFont="1" applyFill="1" applyBorder="1" applyAlignment="1">
      <alignment horizontal="justify"/>
    </xf>
    <xf numFmtId="0" fontId="16" fillId="6" borderId="2" xfId="1" applyFont="1" applyFill="1" applyBorder="1" applyAlignment="1">
      <alignment horizontal="left" wrapText="1"/>
    </xf>
    <xf numFmtId="0" fontId="16" fillId="6" borderId="2" xfId="1" applyFont="1" applyFill="1" applyBorder="1" applyAlignment="1">
      <alignment horizontal="center" wrapText="1"/>
    </xf>
    <xf numFmtId="49" fontId="16" fillId="6" borderId="2" xfId="1" applyNumberFormat="1" applyFont="1" applyFill="1" applyBorder="1" applyAlignment="1">
      <alignment horizontal="justify"/>
    </xf>
    <xf numFmtId="0" fontId="11" fillId="4" borderId="4" xfId="1" applyFont="1" applyFill="1" applyBorder="1" applyAlignment="1">
      <alignment horizontal="left" wrapText="1"/>
    </xf>
    <xf numFmtId="0" fontId="16" fillId="6" borderId="5" xfId="1" applyFont="1" applyFill="1" applyBorder="1" applyAlignment="1">
      <alignment wrapText="1"/>
    </xf>
    <xf numFmtId="0" fontId="11" fillId="0" borderId="5" xfId="1" applyFont="1" applyBorder="1" applyAlignment="1">
      <alignment wrapText="1"/>
    </xf>
    <xf numFmtId="0" fontId="11" fillId="0" borderId="5" xfId="1" applyFont="1" applyBorder="1" applyAlignment="1">
      <alignment horizontal="center" wrapText="1"/>
    </xf>
    <xf numFmtId="0" fontId="11" fillId="0" borderId="5" xfId="1" applyFont="1" applyFill="1" applyBorder="1" applyAlignment="1">
      <alignment wrapText="1"/>
    </xf>
    <xf numFmtId="0" fontId="16" fillId="0" borderId="5" xfId="1" applyFont="1" applyFill="1" applyBorder="1" applyAlignment="1">
      <alignment wrapText="1"/>
    </xf>
    <xf numFmtId="0" fontId="11" fillId="0" borderId="3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wrapText="1"/>
    </xf>
    <xf numFmtId="0" fontId="16" fillId="0" borderId="2" xfId="1" applyFont="1" applyFill="1" applyBorder="1" applyAlignment="1">
      <alignment wrapText="1"/>
    </xf>
    <xf numFmtId="0" fontId="14" fillId="0" borderId="0" xfId="0" applyFont="1" applyFill="1"/>
    <xf numFmtId="0" fontId="11" fillId="6" borderId="2" xfId="1" applyFont="1" applyFill="1" applyBorder="1" applyAlignment="1">
      <alignment wrapText="1"/>
    </xf>
    <xf numFmtId="0" fontId="14" fillId="0" borderId="0" xfId="0" applyFont="1" applyAlignment="1">
      <alignment horizontal="center"/>
    </xf>
    <xf numFmtId="49" fontId="21" fillId="3" borderId="5" xfId="1" applyNumberFormat="1" applyFont="1" applyFill="1" applyBorder="1" applyAlignment="1">
      <alignment horizontal="justify"/>
    </xf>
    <xf numFmtId="0" fontId="16" fillId="8" borderId="4" xfId="1" applyFont="1" applyFill="1" applyBorder="1" applyAlignment="1">
      <alignment horizontal="center" wrapText="1"/>
    </xf>
    <xf numFmtId="49" fontId="16" fillId="8" borderId="4" xfId="1" applyNumberFormat="1" applyFont="1" applyFill="1" applyBorder="1" applyAlignment="1">
      <alignment horizontal="justify"/>
    </xf>
    <xf numFmtId="49" fontId="11" fillId="8" borderId="2" xfId="0" applyNumberFormat="1" applyFont="1" applyFill="1" applyBorder="1" applyAlignment="1">
      <alignment horizontal="center"/>
    </xf>
    <xf numFmtId="0" fontId="11" fillId="8" borderId="4" xfId="1" applyFont="1" applyFill="1" applyBorder="1" applyAlignment="1">
      <alignment horizontal="left" wrapText="1"/>
    </xf>
    <xf numFmtId="0" fontId="11" fillId="8" borderId="4" xfId="1" applyFont="1" applyFill="1" applyBorder="1" applyAlignment="1">
      <alignment horizontal="center" wrapText="1"/>
    </xf>
    <xf numFmtId="49" fontId="11" fillId="8" borderId="4" xfId="1" applyNumberFormat="1" applyFont="1" applyFill="1" applyBorder="1" applyAlignment="1">
      <alignment horizontal="justify"/>
    </xf>
    <xf numFmtId="0" fontId="11" fillId="8" borderId="5" xfId="1" applyFont="1" applyFill="1" applyBorder="1" applyAlignment="1">
      <alignment horizontal="left" wrapText="1"/>
    </xf>
    <xf numFmtId="49" fontId="25" fillId="0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8" fillId="8" borderId="2" xfId="0" applyFont="1" applyFill="1" applyBorder="1"/>
    <xf numFmtId="0" fontId="25" fillId="8" borderId="2" xfId="0" applyFont="1" applyFill="1" applyBorder="1" applyAlignment="1">
      <alignment wrapText="1"/>
    </xf>
    <xf numFmtId="0" fontId="11" fillId="8" borderId="2" xfId="0" applyFont="1" applyFill="1" applyBorder="1" applyAlignment="1">
      <alignment wrapText="1"/>
    </xf>
    <xf numFmtId="0" fontId="11" fillId="8" borderId="2" xfId="1" applyFont="1" applyFill="1" applyBorder="1" applyAlignment="1">
      <alignment wrapText="1"/>
    </xf>
    <xf numFmtId="0" fontId="11" fillId="0" borderId="0" xfId="0" applyFont="1"/>
    <xf numFmtId="0" fontId="15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6" xfId="1" applyFont="1" applyBorder="1" applyAlignment="1">
      <alignment horizontal="center" vertical="center" wrapText="1"/>
    </xf>
    <xf numFmtId="0" fontId="16" fillId="5" borderId="2" xfId="0" applyFont="1" applyFill="1" applyBorder="1"/>
    <xf numFmtId="0" fontId="16" fillId="5" borderId="8" xfId="1" applyFont="1" applyFill="1" applyBorder="1" applyAlignment="1">
      <alignment horizontal="left" wrapText="1"/>
    </xf>
    <xf numFmtId="16" fontId="11" fillId="4" borderId="2" xfId="0" applyNumberFormat="1" applyFont="1" applyFill="1" applyBorder="1"/>
    <xf numFmtId="0" fontId="11" fillId="4" borderId="2" xfId="1" applyFont="1" applyFill="1" applyBorder="1" applyAlignment="1">
      <alignment horizontal="center" vertical="center" wrapText="1"/>
    </xf>
    <xf numFmtId="0" fontId="16" fillId="4" borderId="2" xfId="0" applyFont="1" applyFill="1" applyBorder="1"/>
    <xf numFmtId="0" fontId="25" fillId="4" borderId="5" xfId="1" applyFont="1" applyFill="1" applyBorder="1" applyAlignment="1">
      <alignment horizontal="left" wrapText="1"/>
    </xf>
    <xf numFmtId="0" fontId="25" fillId="0" borderId="5" xfId="1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6" fillId="0" borderId="2" xfId="0" applyFont="1" applyBorder="1"/>
    <xf numFmtId="0" fontId="11" fillId="0" borderId="3" xfId="1" applyFont="1" applyFill="1" applyBorder="1" applyAlignment="1">
      <alignment horizontal="left" wrapText="1"/>
    </xf>
    <xf numFmtId="0" fontId="16" fillId="0" borderId="5" xfId="1" applyFont="1" applyFill="1" applyBorder="1" applyAlignment="1">
      <alignment horizontal="left" wrapText="1"/>
    </xf>
    <xf numFmtId="2" fontId="16" fillId="0" borderId="2" xfId="0" applyNumberFormat="1" applyFont="1" applyFill="1" applyBorder="1"/>
    <xf numFmtId="16" fontId="11" fillId="0" borderId="2" xfId="0" applyNumberFormat="1" applyFont="1" applyFill="1" applyBorder="1"/>
    <xf numFmtId="0" fontId="16" fillId="0" borderId="2" xfId="1" applyFont="1" applyFill="1" applyBorder="1" applyAlignment="1">
      <alignment horizontal="left" wrapText="1"/>
    </xf>
    <xf numFmtId="16" fontId="25" fillId="4" borderId="2" xfId="0" applyNumberFormat="1" applyFont="1" applyFill="1" applyBorder="1"/>
    <xf numFmtId="0" fontId="22" fillId="4" borderId="2" xfId="1" applyFont="1" applyFill="1" applyBorder="1" applyAlignment="1">
      <alignment horizontal="left" wrapText="1"/>
    </xf>
    <xf numFmtId="0" fontId="11" fillId="0" borderId="0" xfId="0" applyFont="1" applyBorder="1"/>
    <xf numFmtId="0" fontId="11" fillId="4" borderId="0" xfId="1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165" fontId="15" fillId="4" borderId="0" xfId="0" applyNumberFormat="1" applyFont="1" applyFill="1" applyAlignment="1">
      <alignment horizontal="center"/>
    </xf>
    <xf numFmtId="0" fontId="15" fillId="0" borderId="0" xfId="0" applyFont="1" applyFill="1"/>
    <xf numFmtId="165" fontId="15" fillId="0" borderId="0" xfId="0" applyNumberFormat="1" applyFont="1" applyFill="1" applyAlignment="1">
      <alignment horizontal="center"/>
    </xf>
    <xf numFmtId="49" fontId="22" fillId="4" borderId="2" xfId="0" applyNumberFormat="1" applyFont="1" applyFill="1" applyBorder="1" applyAlignment="1">
      <alignment horizontal="center"/>
    </xf>
    <xf numFmtId="0" fontId="25" fillId="4" borderId="4" xfId="1" applyFont="1" applyFill="1" applyBorder="1" applyAlignment="1">
      <alignment wrapText="1"/>
    </xf>
    <xf numFmtId="0" fontId="25" fillId="4" borderId="5" xfId="1" applyFont="1" applyFill="1" applyBorder="1" applyAlignment="1">
      <alignment wrapText="1"/>
    </xf>
    <xf numFmtId="49" fontId="25" fillId="4" borderId="5" xfId="1" applyNumberFormat="1" applyFont="1" applyFill="1" applyBorder="1" applyAlignment="1">
      <alignment horizontal="justify"/>
    </xf>
    <xf numFmtId="0" fontId="14" fillId="4" borderId="0" xfId="0" applyFont="1" applyFill="1"/>
    <xf numFmtId="3" fontId="5" fillId="0" borderId="2" xfId="1" applyNumberFormat="1" applyFont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2" fontId="0" fillId="0" borderId="0" xfId="0" applyNumberFormat="1"/>
    <xf numFmtId="0" fontId="16" fillId="8" borderId="5" xfId="1" applyFont="1" applyFill="1" applyBorder="1" applyAlignment="1">
      <alignment horizontal="left" wrapText="1"/>
    </xf>
    <xf numFmtId="166" fontId="7" fillId="4" borderId="2" xfId="0" applyNumberFormat="1" applyFont="1" applyFill="1" applyBorder="1"/>
    <xf numFmtId="165" fontId="0" fillId="0" borderId="2" xfId="0" applyNumberForma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167" fontId="13" fillId="4" borderId="0" xfId="0" applyNumberFormat="1" applyFont="1" applyFill="1" applyAlignment="1">
      <alignment horizontal="left"/>
    </xf>
    <xf numFmtId="166" fontId="10" fillId="0" borderId="2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166" fontId="9" fillId="6" borderId="2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6" fontId="9" fillId="4" borderId="2" xfId="1" applyNumberFormat="1" applyFont="1" applyFill="1" applyBorder="1" applyAlignment="1">
      <alignment horizontal="right"/>
    </xf>
    <xf numFmtId="166" fontId="9" fillId="0" borderId="2" xfId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166" fontId="1" fillId="6" borderId="2" xfId="1" applyNumberFormat="1" applyFont="1" applyFill="1" applyBorder="1" applyAlignment="1">
      <alignment horizontal="right"/>
    </xf>
    <xf numFmtId="166" fontId="9" fillId="0" borderId="11" xfId="1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66" fontId="10" fillId="6" borderId="11" xfId="1" applyNumberFormat="1" applyFont="1" applyFill="1" applyBorder="1" applyAlignment="1">
      <alignment horizontal="right"/>
    </xf>
    <xf numFmtId="166" fontId="17" fillId="4" borderId="2" xfId="1" applyNumberFormat="1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11" fillId="0" borderId="2" xfId="0" applyFont="1" applyFill="1" applyBorder="1"/>
    <xf numFmtId="0" fontId="10" fillId="0" borderId="1" xfId="1" applyFont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166" fontId="8" fillId="8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4" borderId="0" xfId="1" applyNumberFormat="1" applyFont="1" applyFill="1" applyBorder="1" applyAlignment="1">
      <alignment horizontal="center"/>
    </xf>
    <xf numFmtId="0" fontId="27" fillId="4" borderId="0" xfId="0" applyFont="1" applyFill="1" applyBorder="1"/>
    <xf numFmtId="49" fontId="6" fillId="4" borderId="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49" fontId="6" fillId="4" borderId="0" xfId="5" applyNumberFormat="1" applyFont="1" applyFill="1" applyBorder="1" applyAlignment="1">
      <alignment horizontal="center" vertical="center" shrinkToFit="1"/>
    </xf>
    <xf numFmtId="49" fontId="6" fillId="4" borderId="0" xfId="6" applyNumberFormat="1" applyFont="1" applyFill="1" applyBorder="1" applyAlignment="1">
      <alignment horizontal="center" vertical="center" shrinkToFit="1"/>
    </xf>
    <xf numFmtId="49" fontId="6" fillId="4" borderId="0" xfId="7" applyNumberFormat="1" applyFont="1" applyFill="1" applyBorder="1" applyAlignment="1">
      <alignment horizontal="center" vertical="center" shrinkToFit="1"/>
    </xf>
    <xf numFmtId="49" fontId="6" fillId="4" borderId="0" xfId="8" applyNumberFormat="1" applyFont="1" applyFill="1" applyBorder="1" applyAlignment="1">
      <alignment horizontal="center" vertical="center" shrinkToFit="1"/>
    </xf>
    <xf numFmtId="49" fontId="6" fillId="4" borderId="0" xfId="9" applyNumberFormat="1" applyFont="1" applyFill="1" applyBorder="1" applyAlignment="1">
      <alignment horizontal="center" vertical="center" shrinkToFit="1"/>
    </xf>
    <xf numFmtId="49" fontId="5" fillId="4" borderId="0" xfId="5" applyNumberFormat="1" applyFont="1" applyFill="1" applyBorder="1" applyAlignment="1">
      <alignment horizontal="center" vertical="center" shrinkToFit="1"/>
    </xf>
    <xf numFmtId="49" fontId="5" fillId="4" borderId="0" xfId="6" applyNumberFormat="1" applyFont="1" applyFill="1" applyBorder="1" applyAlignment="1">
      <alignment horizontal="center" vertical="center" shrinkToFit="1"/>
    </xf>
    <xf numFmtId="0" fontId="0" fillId="4" borderId="0" xfId="0" applyFont="1" applyFill="1" applyBorder="1"/>
    <xf numFmtId="49" fontId="7" fillId="4" borderId="0" xfId="0" applyNumberFormat="1" applyFont="1" applyFill="1" applyBorder="1" applyAlignment="1">
      <alignment horizontal="center" vertical="center" shrinkToFit="1"/>
    </xf>
    <xf numFmtId="49" fontId="28" fillId="4" borderId="0" xfId="8" applyNumberFormat="1" applyFont="1" applyFill="1" applyBorder="1" applyAlignment="1">
      <alignment horizontal="center" vertical="center" shrinkToFit="1"/>
    </xf>
    <xf numFmtId="49" fontId="28" fillId="4" borderId="0" xfId="9" applyNumberFormat="1" applyFont="1" applyFill="1" applyBorder="1" applyAlignment="1">
      <alignment horizontal="center" vertical="center" shrinkToFi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0" fontId="19" fillId="0" borderId="2" xfId="0" applyFont="1" applyBorder="1"/>
    <xf numFmtId="165" fontId="5" fillId="0" borderId="2" xfId="1" applyNumberFormat="1" applyFont="1" applyBorder="1" applyAlignment="1">
      <alignment horizontal="center"/>
    </xf>
    <xf numFmtId="166" fontId="8" fillId="0" borderId="2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2" xfId="0" applyFont="1" applyFill="1" applyBorder="1"/>
    <xf numFmtId="49" fontId="16" fillId="4" borderId="0" xfId="1" applyNumberFormat="1" applyFont="1" applyFill="1" applyBorder="1" applyAlignment="1">
      <alignment horizontal="justify"/>
    </xf>
    <xf numFmtId="0" fontId="11" fillId="0" borderId="0" xfId="0" applyFont="1" applyFill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wrapText="1"/>
    </xf>
    <xf numFmtId="0" fontId="9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0" xfId="0" applyFont="1" applyFill="1" applyBorder="1"/>
    <xf numFmtId="166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166" fontId="10" fillId="4" borderId="15" xfId="0" applyNumberFormat="1" applyFont="1" applyFill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10" fillId="4" borderId="0" xfId="0" applyFont="1" applyFill="1" applyBorder="1"/>
    <xf numFmtId="166" fontId="10" fillId="4" borderId="0" xfId="0" applyNumberFormat="1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166" fontId="10" fillId="4" borderId="20" xfId="0" applyNumberFormat="1" applyFont="1" applyFill="1" applyBorder="1" applyAlignment="1">
      <alignment horizontal="center"/>
    </xf>
    <xf numFmtId="166" fontId="10" fillId="4" borderId="20" xfId="0" applyNumberFormat="1" applyFont="1" applyFill="1" applyBorder="1"/>
    <xf numFmtId="0" fontId="11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10" fillId="4" borderId="2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vertical="top"/>
    </xf>
    <xf numFmtId="0" fontId="9" fillId="4" borderId="27" xfId="0" applyFont="1" applyFill="1" applyBorder="1"/>
    <xf numFmtId="0" fontId="9" fillId="4" borderId="4" xfId="0" applyFont="1" applyFill="1" applyBorder="1"/>
    <xf numFmtId="0" fontId="11" fillId="0" borderId="5" xfId="1" applyFont="1" applyBorder="1" applyAlignment="1">
      <alignment vertical="top" wrapText="1"/>
    </xf>
    <xf numFmtId="0" fontId="22" fillId="6" borderId="4" xfId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9" fillId="4" borderId="28" xfId="0" applyFont="1" applyFill="1" applyBorder="1"/>
    <xf numFmtId="49" fontId="34" fillId="4" borderId="0" xfId="0" applyNumberFormat="1" applyFont="1" applyFill="1" applyBorder="1" applyAlignment="1">
      <alignment horizontal="center" vertical="center" shrinkToFit="1"/>
    </xf>
    <xf numFmtId="49" fontId="26" fillId="4" borderId="0" xfId="0" applyNumberFormat="1" applyFont="1" applyFill="1" applyBorder="1" applyAlignment="1">
      <alignment horizontal="center" vertical="center" shrinkToFit="1"/>
    </xf>
    <xf numFmtId="166" fontId="1" fillId="0" borderId="2" xfId="1" applyNumberFormat="1" applyFont="1" applyFill="1" applyBorder="1" applyAlignment="1">
      <alignment horizontal="right"/>
    </xf>
    <xf numFmtId="49" fontId="34" fillId="4" borderId="0" xfId="0" applyNumberFormat="1" applyFont="1" applyFill="1"/>
    <xf numFmtId="49" fontId="26" fillId="4" borderId="0" xfId="5" applyNumberFormat="1" applyFont="1" applyFill="1" applyBorder="1" applyAlignment="1">
      <alignment horizontal="center" vertical="center" shrinkToFit="1"/>
    </xf>
    <xf numFmtId="49" fontId="26" fillId="4" borderId="0" xfId="6" applyNumberFormat="1" applyFont="1" applyFill="1" applyBorder="1" applyAlignment="1">
      <alignment horizontal="center" vertical="center" shrinkToFit="1"/>
    </xf>
    <xf numFmtId="49" fontId="34" fillId="4" borderId="0" xfId="7" applyNumberFormat="1" applyFont="1" applyFill="1" applyBorder="1" applyAlignment="1">
      <alignment horizontal="center" vertical="center" shrinkToFit="1"/>
    </xf>
    <xf numFmtId="49" fontId="26" fillId="4" borderId="0" xfId="0" applyNumberFormat="1" applyFont="1" applyFill="1" applyBorder="1" applyAlignment="1">
      <alignment horizontal="center" vertical="center"/>
    </xf>
    <xf numFmtId="49" fontId="34" fillId="4" borderId="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/>
    </xf>
    <xf numFmtId="0" fontId="26" fillId="4" borderId="0" xfId="0" applyFont="1" applyFill="1"/>
    <xf numFmtId="0" fontId="7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4" borderId="5" xfId="1" applyFont="1" applyFill="1" applyBorder="1" applyAlignment="1">
      <alignment wrapText="1"/>
    </xf>
    <xf numFmtId="167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5" borderId="2" xfId="0" applyFont="1" applyFill="1" applyBorder="1"/>
    <xf numFmtId="0" fontId="10" fillId="5" borderId="2" xfId="1" applyFont="1" applyFill="1" applyBorder="1" applyAlignment="1">
      <alignment horizontal="left" wrapText="1"/>
    </xf>
    <xf numFmtId="0" fontId="5" fillId="5" borderId="2" xfId="1" applyFont="1" applyFill="1" applyBorder="1" applyAlignment="1">
      <alignment horizontal="center" wrapText="1"/>
    </xf>
    <xf numFmtId="166" fontId="5" fillId="5" borderId="2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left" wrapText="1"/>
    </xf>
    <xf numFmtId="0" fontId="0" fillId="4" borderId="2" xfId="0" applyFont="1" applyFill="1" applyBorder="1"/>
    <xf numFmtId="0" fontId="9" fillId="8" borderId="2" xfId="1" applyFont="1" applyFill="1" applyBorder="1" applyAlignment="1">
      <alignment horizontal="left" wrapText="1"/>
    </xf>
    <xf numFmtId="0" fontId="6" fillId="8" borderId="2" xfId="1" applyFont="1" applyFill="1" applyBorder="1" applyAlignment="1">
      <alignment horizontal="left" wrapText="1"/>
    </xf>
    <xf numFmtId="166" fontId="7" fillId="8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horizontal="center"/>
    </xf>
    <xf numFmtId="0" fontId="16" fillId="4" borderId="5" xfId="1" applyFont="1" applyFill="1" applyBorder="1" applyAlignment="1">
      <alignment wrapText="1"/>
    </xf>
    <xf numFmtId="16" fontId="10" fillId="0" borderId="2" xfId="0" applyNumberFormat="1" applyFont="1" applyFill="1" applyBorder="1"/>
    <xf numFmtId="0" fontId="9" fillId="0" borderId="14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2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center"/>
    </xf>
    <xf numFmtId="0" fontId="1" fillId="8" borderId="2" xfId="0" applyFont="1" applyFill="1" applyBorder="1"/>
    <xf numFmtId="0" fontId="17" fillId="8" borderId="2" xfId="1" applyFont="1" applyFill="1" applyBorder="1" applyAlignment="1">
      <alignment horizontal="left" wrapText="1"/>
    </xf>
    <xf numFmtId="0" fontId="25" fillId="8" borderId="2" xfId="1" applyFont="1" applyFill="1" applyBorder="1" applyAlignment="1">
      <alignment horizontal="left" wrapText="1"/>
    </xf>
    <xf numFmtId="0" fontId="37" fillId="8" borderId="2" xfId="1" applyFont="1" applyFill="1" applyBorder="1" applyAlignment="1">
      <alignment horizontal="left" wrapText="1"/>
    </xf>
    <xf numFmtId="165" fontId="18" fillId="8" borderId="2" xfId="1" applyNumberFormat="1" applyFont="1" applyFill="1" applyBorder="1" applyAlignment="1">
      <alignment horizontal="center"/>
    </xf>
    <xf numFmtId="165" fontId="18" fillId="8" borderId="2" xfId="0" applyNumberFormat="1" applyFont="1" applyFill="1" applyBorder="1" applyAlignment="1">
      <alignment horizontal="center"/>
    </xf>
    <xf numFmtId="0" fontId="4" fillId="4" borderId="0" xfId="0" applyFont="1" applyFill="1"/>
    <xf numFmtId="49" fontId="9" fillId="4" borderId="2" xfId="1" applyNumberFormat="1" applyFont="1" applyFill="1" applyBorder="1" applyAlignment="1">
      <alignment horizontal="left" wrapText="1"/>
    </xf>
    <xf numFmtId="49" fontId="6" fillId="4" borderId="2" xfId="1" applyNumberFormat="1" applyFont="1" applyFill="1" applyBorder="1" applyAlignment="1">
      <alignment horizontal="left" wrapText="1"/>
    </xf>
    <xf numFmtId="165" fontId="7" fillId="4" borderId="2" xfId="1" applyNumberFormat="1" applyFont="1" applyFill="1" applyBorder="1" applyAlignment="1">
      <alignment horizontal="center"/>
    </xf>
    <xf numFmtId="0" fontId="11" fillId="8" borderId="2" xfId="1" applyFont="1" applyFill="1" applyBorder="1" applyAlignment="1">
      <alignment horizontal="left" wrapText="1"/>
    </xf>
    <xf numFmtId="165" fontId="7" fillId="8" borderId="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left" wrapText="1"/>
    </xf>
    <xf numFmtId="165" fontId="7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1" applyFont="1" applyBorder="1" applyAlignment="1">
      <alignment horizontal="left" wrapText="1"/>
    </xf>
    <xf numFmtId="0" fontId="11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center" wrapText="1"/>
    </xf>
    <xf numFmtId="0" fontId="15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2" xfId="1" applyFont="1" applyFill="1" applyBorder="1" applyAlignment="1">
      <alignment horizontal="left" wrapText="1"/>
    </xf>
    <xf numFmtId="0" fontId="37" fillId="4" borderId="0" xfId="1" applyFont="1" applyFill="1" applyBorder="1" applyAlignment="1">
      <alignment horizontal="left" wrapText="1"/>
    </xf>
    <xf numFmtId="0" fontId="19" fillId="4" borderId="2" xfId="0" applyFont="1" applyFill="1" applyBorder="1"/>
    <xf numFmtId="0" fontId="19" fillId="4" borderId="0" xfId="0" applyFont="1" applyFill="1"/>
    <xf numFmtId="0" fontId="9" fillId="0" borderId="2" xfId="0" applyFont="1" applyBorder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center"/>
    </xf>
    <xf numFmtId="0" fontId="11" fillId="0" borderId="5" xfId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32" fillId="4" borderId="0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0" fontId="16" fillId="5" borderId="5" xfId="1" applyFont="1" applyFill="1" applyBorder="1" applyAlignment="1">
      <alignment horizontal="left" wrapText="1"/>
    </xf>
    <xf numFmtId="0" fontId="25" fillId="5" borderId="5" xfId="1" applyFont="1" applyFill="1" applyBorder="1" applyAlignment="1">
      <alignment horizontal="left" wrapText="1"/>
    </xf>
    <xf numFmtId="165" fontId="10" fillId="5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2" fontId="16" fillId="0" borderId="7" xfId="0" applyNumberFormat="1" applyFont="1" applyFill="1" applyBorder="1"/>
    <xf numFmtId="0" fontId="7" fillId="4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/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0" fillId="5" borderId="2" xfId="0" applyFont="1" applyFill="1" applyBorder="1"/>
    <xf numFmtId="0" fontId="9" fillId="5" borderId="2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40" fillId="4" borderId="0" xfId="0" applyFont="1" applyFill="1" applyBorder="1" applyAlignment="1"/>
    <xf numFmtId="164" fontId="6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1" fillId="5" borderId="5" xfId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22" fillId="5" borderId="5" xfId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5" borderId="7" xfId="0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32" xfId="0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16" fillId="5" borderId="4" xfId="1" applyFont="1" applyFill="1" applyBorder="1" applyAlignment="1">
      <alignment horizontal="left" wrapText="1"/>
    </xf>
    <xf numFmtId="0" fontId="22" fillId="5" borderId="2" xfId="1" applyFont="1" applyFill="1" applyBorder="1" applyAlignment="1">
      <alignment wrapText="1"/>
    </xf>
    <xf numFmtId="0" fontId="11" fillId="5" borderId="2" xfId="1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165" fontId="10" fillId="5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168" fontId="10" fillId="4" borderId="2" xfId="0" applyNumberFormat="1" applyFont="1" applyFill="1" applyBorder="1" applyAlignment="1">
      <alignment horizontal="center"/>
    </xf>
    <xf numFmtId="4" fontId="10" fillId="10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4" fontId="9" fillId="0" borderId="2" xfId="0" applyNumberFormat="1" applyFont="1" applyBorder="1"/>
    <xf numFmtId="4" fontId="31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4" fontId="17" fillId="0" borderId="1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9" fontId="16" fillId="5" borderId="5" xfId="1" applyNumberFormat="1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left" vertical="center" wrapText="1"/>
    </xf>
    <xf numFmtId="4" fontId="9" fillId="0" borderId="33" xfId="0" applyNumberFormat="1" applyFont="1" applyBorder="1"/>
    <xf numFmtId="4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0" fillId="0" borderId="45" xfId="0" applyBorder="1"/>
    <xf numFmtId="0" fontId="8" fillId="0" borderId="3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49" fontId="10" fillId="10" borderId="10" xfId="0" applyNumberFormat="1" applyFont="1" applyFill="1" applyBorder="1" applyAlignment="1">
      <alignment horizontal="center" vertical="center"/>
    </xf>
    <xf numFmtId="49" fontId="10" fillId="10" borderId="42" xfId="0" applyNumberFormat="1" applyFont="1" applyFill="1" applyBorder="1" applyAlignment="1">
      <alignment horizontal="center" vertical="center"/>
    </xf>
    <xf numFmtId="49" fontId="9" fillId="10" borderId="42" xfId="0" applyNumberFormat="1" applyFont="1" applyFill="1" applyBorder="1" applyAlignment="1">
      <alignment horizontal="center" vertical="center"/>
    </xf>
    <xf numFmtId="4" fontId="7" fillId="10" borderId="43" xfId="0" applyNumberFormat="1" applyFont="1" applyFill="1" applyBorder="1" applyAlignment="1">
      <alignment horizontal="center" vertical="center"/>
    </xf>
    <xf numFmtId="49" fontId="10" fillId="10" borderId="11" xfId="0" applyNumberFormat="1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/>
    </xf>
    <xf numFmtId="4" fontId="9" fillId="10" borderId="40" xfId="0" applyNumberFormat="1" applyFont="1" applyFill="1" applyBorder="1" applyAlignment="1">
      <alignment horizontal="center"/>
    </xf>
    <xf numFmtId="49" fontId="10" fillId="10" borderId="2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" fontId="31" fillId="5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/>
    <xf numFmtId="0" fontId="7" fillId="0" borderId="14" xfId="0" applyFont="1" applyFill="1" applyBorder="1" applyAlignment="1"/>
    <xf numFmtId="0" fontId="9" fillId="0" borderId="14" xfId="0" applyFont="1" applyFill="1" applyBorder="1" applyAlignment="1"/>
    <xf numFmtId="0" fontId="8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10" fillId="5" borderId="7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top" wrapText="1"/>
    </xf>
    <xf numFmtId="2" fontId="16" fillId="5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1" fillId="5" borderId="3" xfId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10" fillId="4" borderId="19" xfId="0" applyFont="1" applyFill="1" applyBorder="1" applyAlignment="1">
      <alignment vertical="top"/>
    </xf>
    <xf numFmtId="0" fontId="9" fillId="4" borderId="20" xfId="0" applyFont="1" applyFill="1" applyBorder="1"/>
    <xf numFmtId="165" fontId="10" fillId="4" borderId="20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65" fontId="10" fillId="5" borderId="17" xfId="0" applyNumberFormat="1" applyFont="1" applyFill="1" applyBorder="1" applyAlignment="1">
      <alignment horizontal="center"/>
    </xf>
    <xf numFmtId="165" fontId="10" fillId="5" borderId="4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4" borderId="47" xfId="0" applyFont="1" applyFill="1" applyBorder="1"/>
    <xf numFmtId="2" fontId="10" fillId="0" borderId="24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169" fontId="10" fillId="4" borderId="2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0" fillId="4" borderId="2" xfId="0" applyNumberFormat="1" applyFont="1" applyFill="1" applyBorder="1" applyAlignment="1">
      <alignment horizontal="center" wrapText="1"/>
    </xf>
    <xf numFmtId="166" fontId="10" fillId="4" borderId="24" xfId="0" applyNumberFormat="1" applyFont="1" applyFill="1" applyBorder="1"/>
    <xf numFmtId="49" fontId="41" fillId="0" borderId="2" xfId="10" applyNumberFormat="1" applyFont="1" applyBorder="1" applyProtection="1">
      <alignment horizontal="center" vertical="top" shrinkToFit="1"/>
    </xf>
    <xf numFmtId="167" fontId="42" fillId="0" borderId="2" xfId="10" applyNumberFormat="1" applyFont="1" applyBorder="1" applyAlignment="1" applyProtection="1">
      <alignment horizontal="right" vertical="top" shrinkToFit="1"/>
    </xf>
    <xf numFmtId="166" fontId="10" fillId="0" borderId="2" xfId="0" applyNumberFormat="1" applyFont="1" applyBorder="1" applyAlignment="1">
      <alignment horizontal="center"/>
    </xf>
    <xf numFmtId="49" fontId="42" fillId="0" borderId="2" xfId="10" applyNumberFormat="1" applyFont="1" applyBorder="1" applyProtection="1">
      <alignment horizontal="center" vertical="top" shrinkToFit="1"/>
    </xf>
    <xf numFmtId="49" fontId="42" fillId="0" borderId="29" xfId="10" applyNumberFormat="1" applyFont="1" applyProtection="1">
      <alignment horizontal="center" vertical="top" shrinkToFit="1"/>
    </xf>
    <xf numFmtId="49" fontId="43" fillId="0" borderId="29" xfId="10" applyNumberFormat="1" applyFont="1" applyProtection="1">
      <alignment horizontal="center" vertical="top" shrinkToFit="1"/>
    </xf>
    <xf numFmtId="167" fontId="43" fillId="0" borderId="29" xfId="10" applyNumberFormat="1" applyFont="1" applyAlignment="1" applyProtection="1">
      <alignment horizontal="right" vertical="top" shrinkToFit="1"/>
    </xf>
    <xf numFmtId="49" fontId="43" fillId="0" borderId="2" xfId="10" applyNumberFormat="1" applyFont="1" applyBorder="1" applyProtection="1">
      <alignment horizontal="center" vertical="top" shrinkToFit="1"/>
    </xf>
    <xf numFmtId="167" fontId="43" fillId="0" borderId="2" xfId="10" applyNumberFormat="1" applyFont="1" applyBorder="1" applyAlignment="1" applyProtection="1">
      <alignment horizontal="right" vertical="top" shrinkToFit="1"/>
    </xf>
    <xf numFmtId="167" fontId="10" fillId="0" borderId="2" xfId="0" applyNumberFormat="1" applyFont="1" applyBorder="1" applyAlignment="1">
      <alignment horizontal="right" vertical="center"/>
    </xf>
    <xf numFmtId="49" fontId="42" fillId="0" borderId="2" xfId="10" applyNumberFormat="1" applyFont="1" applyBorder="1" applyAlignment="1" applyProtection="1">
      <alignment horizontal="center" shrinkToFit="1"/>
    </xf>
    <xf numFmtId="49" fontId="43" fillId="0" borderId="52" xfId="10" applyNumberFormat="1" applyFont="1" applyBorder="1" applyProtection="1">
      <alignment horizontal="center" vertical="top" shrinkToFit="1"/>
    </xf>
    <xf numFmtId="49" fontId="42" fillId="0" borderId="52" xfId="10" applyNumberFormat="1" applyFont="1" applyBorder="1" applyProtection="1">
      <alignment horizontal="center" vertical="top" shrinkToFit="1"/>
    </xf>
    <xf numFmtId="49" fontId="43" fillId="0" borderId="5" xfId="10" applyNumberFormat="1" applyFont="1" applyBorder="1" applyProtection="1">
      <alignment horizontal="center" vertical="top" shrinkToFit="1"/>
    </xf>
    <xf numFmtId="49" fontId="42" fillId="0" borderId="5" xfId="10" applyNumberFormat="1" applyFont="1" applyBorder="1" applyProtection="1">
      <alignment horizontal="center" vertical="top" shrinkToFi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44" fillId="0" borderId="2" xfId="0" applyFont="1" applyBorder="1"/>
    <xf numFmtId="0" fontId="44" fillId="0" borderId="2" xfId="0" applyFont="1" applyFill="1" applyBorder="1"/>
    <xf numFmtId="165" fontId="1" fillId="6" borderId="2" xfId="0" applyNumberFormat="1" applyFont="1" applyFill="1" applyBorder="1" applyAlignment="1">
      <alignment horizontal="right"/>
    </xf>
    <xf numFmtId="165" fontId="17" fillId="0" borderId="2" xfId="0" applyNumberFormat="1" applyFont="1" applyBorder="1"/>
    <xf numFmtId="165" fontId="9" fillId="0" borderId="2" xfId="0" applyNumberFormat="1" applyFont="1" applyBorder="1"/>
    <xf numFmtId="0" fontId="15" fillId="0" borderId="2" xfId="0" applyFont="1" applyFill="1" applyBorder="1"/>
    <xf numFmtId="165" fontId="7" fillId="0" borderId="2" xfId="0" applyNumberFormat="1" applyFont="1" applyFill="1" applyBorder="1"/>
    <xf numFmtId="166" fontId="9" fillId="0" borderId="2" xfId="0" applyNumberFormat="1" applyFont="1" applyBorder="1"/>
    <xf numFmtId="166" fontId="10" fillId="5" borderId="2" xfId="1" applyNumberFormat="1" applyFont="1" applyFill="1" applyBorder="1" applyAlignment="1">
      <alignment horizontal="center"/>
    </xf>
    <xf numFmtId="0" fontId="4" fillId="4" borderId="2" xfId="0" applyFont="1" applyFill="1" applyBorder="1"/>
    <xf numFmtId="166" fontId="7" fillId="6" borderId="2" xfId="1" applyNumberFormat="1" applyFont="1" applyFill="1" applyBorder="1" applyAlignment="1">
      <alignment horizontal="center" wrapText="1"/>
    </xf>
    <xf numFmtId="0" fontId="29" fillId="0" borderId="2" xfId="0" applyFont="1" applyBorder="1"/>
    <xf numFmtId="0" fontId="17" fillId="0" borderId="2" xfId="0" applyFont="1" applyBorder="1"/>
    <xf numFmtId="166" fontId="7" fillId="2" borderId="2" xfId="1" applyNumberFormat="1" applyFont="1" applyFill="1" applyBorder="1" applyAlignment="1">
      <alignment horizontal="center"/>
    </xf>
    <xf numFmtId="0" fontId="13" fillId="4" borderId="2" xfId="0" applyFont="1" applyFill="1" applyBorder="1"/>
    <xf numFmtId="166" fontId="9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/>
    <xf numFmtId="0" fontId="9" fillId="0" borderId="11" xfId="0" applyFont="1" applyFill="1" applyBorder="1" applyAlignment="1">
      <alignment horizontal="right"/>
    </xf>
    <xf numFmtId="165" fontId="17" fillId="0" borderId="2" xfId="0" applyNumberFormat="1" applyFont="1" applyFill="1" applyBorder="1"/>
    <xf numFmtId="0" fontId="17" fillId="0" borderId="2" xfId="0" applyFont="1" applyFill="1" applyBorder="1"/>
    <xf numFmtId="166" fontId="17" fillId="0" borderId="2" xfId="0" applyNumberFormat="1" applyFont="1" applyFill="1" applyBorder="1"/>
    <xf numFmtId="165" fontId="1" fillId="0" borderId="2" xfId="0" applyNumberFormat="1" applyFont="1" applyFill="1" applyBorder="1"/>
    <xf numFmtId="166" fontId="17" fillId="0" borderId="11" xfId="1" applyNumberFormat="1" applyFont="1" applyFill="1" applyBorder="1" applyAlignment="1">
      <alignment horizontal="right"/>
    </xf>
    <xf numFmtId="166" fontId="17" fillId="0" borderId="2" xfId="1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18" fillId="0" borderId="2" xfId="0" applyFont="1" applyFill="1" applyBorder="1"/>
    <xf numFmtId="2" fontId="7" fillId="0" borderId="2" xfId="0" applyNumberFormat="1" applyFont="1" applyFill="1" applyBorder="1"/>
    <xf numFmtId="166" fontId="7" fillId="0" borderId="2" xfId="0" applyNumberFormat="1" applyFont="1" applyFill="1" applyBorder="1" applyAlignment="1"/>
    <xf numFmtId="166" fontId="8" fillId="11" borderId="2" xfId="1" applyNumberFormat="1" applyFont="1" applyFill="1" applyBorder="1" applyAlignment="1">
      <alignment horizontal="center"/>
    </xf>
    <xf numFmtId="166" fontId="8" fillId="11" borderId="2" xfId="0" applyNumberFormat="1" applyFont="1" applyFill="1" applyBorder="1"/>
    <xf numFmtId="165" fontId="8" fillId="11" borderId="2" xfId="0" applyNumberFormat="1" applyFont="1" applyFill="1" applyBorder="1" applyAlignment="1">
      <alignment horizontal="right"/>
    </xf>
    <xf numFmtId="166" fontId="8" fillId="11" borderId="2" xfId="1" applyNumberFormat="1" applyFont="1" applyFill="1" applyBorder="1" applyAlignment="1">
      <alignment horizontal="right"/>
    </xf>
    <xf numFmtId="0" fontId="16" fillId="11" borderId="2" xfId="0" applyFont="1" applyFill="1" applyBorder="1"/>
    <xf numFmtId="0" fontId="11" fillId="11" borderId="5" xfId="1" applyFont="1" applyFill="1" applyBorder="1" applyAlignment="1">
      <alignment horizontal="left" wrapText="1"/>
    </xf>
    <xf numFmtId="0" fontId="16" fillId="11" borderId="2" xfId="1" applyFont="1" applyFill="1" applyBorder="1" applyAlignment="1">
      <alignment horizontal="left" wrapText="1"/>
    </xf>
    <xf numFmtId="0" fontId="7" fillId="11" borderId="2" xfId="0" applyFont="1" applyFill="1" applyBorder="1"/>
    <xf numFmtId="0" fontId="9" fillId="11" borderId="2" xfId="0" applyFont="1" applyFill="1" applyBorder="1"/>
    <xf numFmtId="166" fontId="10" fillId="11" borderId="2" xfId="1" applyNumberFormat="1" applyFont="1" applyFill="1" applyBorder="1" applyAlignment="1">
      <alignment horizontal="center"/>
    </xf>
    <xf numFmtId="2" fontId="16" fillId="11" borderId="2" xfId="0" applyNumberFormat="1" applyFont="1" applyFill="1" applyBorder="1"/>
    <xf numFmtId="0" fontId="16" fillId="11" borderId="5" xfId="1" applyFont="1" applyFill="1" applyBorder="1" applyAlignment="1">
      <alignment horizontal="left" vertical="top" wrapText="1"/>
    </xf>
    <xf numFmtId="0" fontId="16" fillId="11" borderId="5" xfId="1" applyFont="1" applyFill="1" applyBorder="1" applyAlignment="1">
      <alignment horizontal="left" wrapText="1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left" wrapText="1"/>
    </xf>
    <xf numFmtId="49" fontId="16" fillId="11" borderId="5" xfId="1" applyNumberFormat="1" applyFont="1" applyFill="1" applyBorder="1" applyAlignment="1">
      <alignment horizontal="left" wrapText="1"/>
    </xf>
    <xf numFmtId="166" fontId="8" fillId="11" borderId="2" xfId="0" applyNumberFormat="1" applyFont="1" applyFill="1" applyBorder="1" applyAlignment="1">
      <alignment horizontal="right"/>
    </xf>
    <xf numFmtId="49" fontId="16" fillId="5" borderId="2" xfId="1" applyNumberFormat="1" applyFont="1" applyFill="1" applyBorder="1" applyAlignment="1">
      <alignment horizontal="left" wrapText="1"/>
    </xf>
    <xf numFmtId="0" fontId="8" fillId="5" borderId="2" xfId="0" applyFont="1" applyFill="1" applyBorder="1"/>
    <xf numFmtId="0" fontId="10" fillId="11" borderId="2" xfId="0" applyFont="1" applyFill="1" applyBorder="1"/>
    <xf numFmtId="0" fontId="10" fillId="11" borderId="2" xfId="1" applyFont="1" applyFill="1" applyBorder="1" applyAlignment="1">
      <alignment horizontal="left" wrapText="1"/>
    </xf>
    <xf numFmtId="0" fontId="9" fillId="11" borderId="2" xfId="1" applyFont="1" applyFill="1" applyBorder="1" applyAlignment="1">
      <alignment horizontal="left" wrapText="1"/>
    </xf>
    <xf numFmtId="0" fontId="6" fillId="11" borderId="2" xfId="1" applyFont="1" applyFill="1" applyBorder="1" applyAlignment="1">
      <alignment horizontal="left" wrapText="1"/>
    </xf>
    <xf numFmtId="166" fontId="7" fillId="11" borderId="2" xfId="1" applyNumberFormat="1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wrapText="1"/>
    </xf>
    <xf numFmtId="0" fontId="8" fillId="11" borderId="2" xfId="0" applyFont="1" applyFill="1" applyBorder="1" applyAlignment="1">
      <alignment horizontal="left"/>
    </xf>
    <xf numFmtId="0" fontId="7" fillId="11" borderId="2" xfId="0" applyFont="1" applyFill="1" applyBorder="1" applyAlignment="1">
      <alignment wrapText="1"/>
    </xf>
    <xf numFmtId="165" fontId="7" fillId="11" borderId="2" xfId="0" applyNumberFormat="1" applyFont="1" applyFill="1" applyBorder="1"/>
    <xf numFmtId="0" fontId="0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5" fillId="11" borderId="2" xfId="1" applyFont="1" applyFill="1" applyBorder="1" applyAlignment="1">
      <alignment horizontal="left" wrapText="1"/>
    </xf>
    <xf numFmtId="165" fontId="10" fillId="11" borderId="2" xfId="1" applyNumberFormat="1" applyFont="1" applyFill="1" applyBorder="1" applyAlignment="1">
      <alignment horizontal="center"/>
    </xf>
    <xf numFmtId="0" fontId="10" fillId="11" borderId="2" xfId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/>
    </xf>
    <xf numFmtId="165" fontId="8" fillId="11" borderId="2" xfId="0" applyNumberFormat="1" applyFont="1" applyFill="1" applyBorder="1" applyAlignment="1">
      <alignment horizontal="center"/>
    </xf>
    <xf numFmtId="0" fontId="8" fillId="11" borderId="2" xfId="0" applyFont="1" applyFill="1" applyBorder="1"/>
    <xf numFmtId="165" fontId="8" fillId="11" borderId="2" xfId="0" applyNumberFormat="1" applyFont="1" applyFill="1" applyBorder="1"/>
    <xf numFmtId="0" fontId="8" fillId="11" borderId="2" xfId="0" applyFont="1" applyFill="1" applyBorder="1" applyAlignment="1">
      <alignment horizontal="center"/>
    </xf>
    <xf numFmtId="0" fontId="10" fillId="11" borderId="0" xfId="0" applyFont="1" applyFill="1" applyAlignment="1">
      <alignment wrapText="1"/>
    </xf>
    <xf numFmtId="0" fontId="25" fillId="0" borderId="5" xfId="1" applyFont="1" applyFill="1" applyBorder="1" applyAlignment="1">
      <alignment wrapText="1"/>
    </xf>
    <xf numFmtId="0" fontId="25" fillId="0" borderId="2" xfId="0" applyFont="1" applyFill="1" applyBorder="1" applyAlignment="1">
      <alignment horizontal="left" wrapText="1"/>
    </xf>
    <xf numFmtId="0" fontId="22" fillId="5" borderId="5" xfId="1" applyFont="1" applyFill="1" applyBorder="1" applyAlignment="1">
      <alignment wrapText="1"/>
    </xf>
    <xf numFmtId="16" fontId="16" fillId="8" borderId="2" xfId="0" applyNumberFormat="1" applyFont="1" applyFill="1" applyBorder="1"/>
    <xf numFmtId="0" fontId="4" fillId="6" borderId="0" xfId="0" applyFont="1" applyFill="1" applyAlignment="1">
      <alignment horizontal="left"/>
    </xf>
    <xf numFmtId="165" fontId="1" fillId="6" borderId="2" xfId="0" applyNumberFormat="1" applyFont="1" applyFill="1" applyBorder="1"/>
    <xf numFmtId="0" fontId="16" fillId="6" borderId="2" xfId="0" applyFont="1" applyFill="1" applyBorder="1" applyAlignment="1">
      <alignment wrapText="1"/>
    </xf>
    <xf numFmtId="0" fontId="44" fillId="6" borderId="2" xfId="0" applyFont="1" applyFill="1" applyBorder="1"/>
    <xf numFmtId="166" fontId="9" fillId="6" borderId="11" xfId="1" applyNumberFormat="1" applyFont="1" applyFill="1" applyBorder="1" applyAlignment="1">
      <alignment horizontal="right"/>
    </xf>
    <xf numFmtId="165" fontId="17" fillId="6" borderId="2" xfId="0" applyNumberFormat="1" applyFont="1" applyFill="1" applyBorder="1"/>
    <xf numFmtId="0" fontId="22" fillId="5" borderId="4" xfId="1" applyFont="1" applyFill="1" applyBorder="1" applyAlignment="1">
      <alignment wrapText="1"/>
    </xf>
    <xf numFmtId="166" fontId="10" fillId="5" borderId="11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5" fontId="1" fillId="5" borderId="2" xfId="0" applyNumberFormat="1" applyFont="1" applyFill="1" applyBorder="1"/>
    <xf numFmtId="0" fontId="22" fillId="6" borderId="5" xfId="1" applyFont="1" applyFill="1" applyBorder="1" applyAlignment="1">
      <alignment wrapText="1"/>
    </xf>
    <xf numFmtId="0" fontId="11" fillId="0" borderId="5" xfId="0" applyFont="1" applyFill="1" applyBorder="1" applyAlignment="1">
      <alignment horizontal="left" wrapText="1"/>
    </xf>
    <xf numFmtId="0" fontId="16" fillId="5" borderId="5" xfId="1" applyFont="1" applyFill="1" applyBorder="1" applyAlignment="1">
      <alignment wrapText="1"/>
    </xf>
    <xf numFmtId="0" fontId="14" fillId="6" borderId="0" xfId="0" applyFont="1" applyFill="1"/>
    <xf numFmtId="0" fontId="22" fillId="5" borderId="9" xfId="1" applyFont="1" applyFill="1" applyBorder="1" applyAlignment="1">
      <alignment wrapText="1"/>
    </xf>
    <xf numFmtId="0" fontId="16" fillId="5" borderId="2" xfId="1" applyFont="1" applyFill="1" applyBorder="1" applyAlignment="1">
      <alignment wrapText="1"/>
    </xf>
    <xf numFmtId="49" fontId="16" fillId="5" borderId="5" xfId="1" applyNumberFormat="1" applyFont="1" applyFill="1" applyBorder="1" applyAlignment="1">
      <alignment horizontal="justify"/>
    </xf>
    <xf numFmtId="0" fontId="14" fillId="5" borderId="0" xfId="0" applyFont="1" applyFill="1"/>
    <xf numFmtId="49" fontId="11" fillId="0" borderId="2" xfId="0" applyNumberFormat="1" applyFont="1" applyFill="1" applyBorder="1" applyAlignment="1">
      <alignment horizontal="center"/>
    </xf>
    <xf numFmtId="49" fontId="16" fillId="0" borderId="5" xfId="1" applyNumberFormat="1" applyFont="1" applyFill="1" applyBorder="1" applyAlignment="1">
      <alignment horizontal="justify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49" fontId="11" fillId="0" borderId="5" xfId="1" applyNumberFormat="1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top" wrapText="1"/>
    </xf>
    <xf numFmtId="166" fontId="17" fillId="5" borderId="2" xfId="0" applyNumberFormat="1" applyFont="1" applyFill="1" applyBorder="1" applyAlignment="1">
      <alignment horizontal="right"/>
    </xf>
    <xf numFmtId="165" fontId="9" fillId="5" borderId="2" xfId="0" applyNumberFormat="1" applyFont="1" applyFill="1" applyBorder="1"/>
    <xf numFmtId="49" fontId="11" fillId="0" borderId="5" xfId="1" applyNumberFormat="1" applyFont="1" applyFill="1" applyBorder="1" applyAlignment="1">
      <alignment horizontal="left" wrapText="1"/>
    </xf>
    <xf numFmtId="49" fontId="16" fillId="0" borderId="5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vertical="top" wrapText="1"/>
    </xf>
    <xf numFmtId="49" fontId="11" fillId="0" borderId="5" xfId="1" applyNumberFormat="1" applyFont="1" applyFill="1" applyBorder="1" applyAlignment="1">
      <alignment horizontal="justify"/>
    </xf>
    <xf numFmtId="49" fontId="11" fillId="0" borderId="3" xfId="1" applyNumberFormat="1" applyFont="1" applyFill="1" applyBorder="1" applyAlignment="1">
      <alignment horizontal="justify"/>
    </xf>
    <xf numFmtId="49" fontId="11" fillId="0" borderId="7" xfId="0" applyNumberFormat="1" applyFont="1" applyFill="1" applyBorder="1" applyAlignment="1">
      <alignment horizontal="center"/>
    </xf>
    <xf numFmtId="49" fontId="11" fillId="0" borderId="4" xfId="1" applyNumberFormat="1" applyFont="1" applyFill="1" applyBorder="1" applyAlignment="1">
      <alignment horizontal="justify"/>
    </xf>
    <xf numFmtId="49" fontId="16" fillId="0" borderId="4" xfId="1" applyNumberFormat="1" applyFont="1" applyFill="1" applyBorder="1" applyAlignment="1">
      <alignment horizontal="justify"/>
    </xf>
    <xf numFmtId="166" fontId="17" fillId="6" borderId="2" xfId="0" applyNumberFormat="1" applyFont="1" applyFill="1" applyBorder="1"/>
    <xf numFmtId="49" fontId="16" fillId="5" borderId="7" xfId="0" applyNumberFormat="1" applyFont="1" applyFill="1" applyBorder="1" applyAlignment="1">
      <alignment horizontal="center"/>
    </xf>
    <xf numFmtId="166" fontId="1" fillId="5" borderId="2" xfId="0" applyNumberFormat="1" applyFont="1" applyFill="1" applyBorder="1"/>
    <xf numFmtId="49" fontId="16" fillId="4" borderId="4" xfId="1" applyNumberFormat="1" applyFont="1" applyFill="1" applyBorder="1" applyAlignment="1">
      <alignment horizontal="justify"/>
    </xf>
    <xf numFmtId="0" fontId="45" fillId="0" borderId="0" xfId="0" applyFont="1"/>
    <xf numFmtId="0" fontId="45" fillId="0" borderId="2" xfId="0" applyFont="1" applyBorder="1"/>
    <xf numFmtId="3" fontId="46" fillId="0" borderId="2" xfId="1" applyNumberFormat="1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166" fontId="48" fillId="5" borderId="2" xfId="1" applyNumberFormat="1" applyFont="1" applyFill="1" applyBorder="1" applyAlignment="1">
      <alignment horizontal="center"/>
    </xf>
    <xf numFmtId="165" fontId="47" fillId="0" borderId="2" xfId="0" applyNumberFormat="1" applyFont="1" applyBorder="1"/>
    <xf numFmtId="165" fontId="45" fillId="0" borderId="2" xfId="0" applyNumberFormat="1" applyFont="1" applyBorder="1"/>
    <xf numFmtId="166" fontId="48" fillId="5" borderId="0" xfId="1" applyNumberFormat="1" applyFont="1" applyFill="1" applyBorder="1" applyAlignment="1">
      <alignment horizontal="center"/>
    </xf>
    <xf numFmtId="166" fontId="49" fillId="0" borderId="46" xfId="1" applyNumberFormat="1" applyFont="1" applyFill="1" applyBorder="1" applyAlignment="1">
      <alignment horizontal="center"/>
    </xf>
    <xf numFmtId="0" fontId="45" fillId="0" borderId="0" xfId="0" applyFont="1" applyBorder="1"/>
    <xf numFmtId="0" fontId="45" fillId="0" borderId="0" xfId="0" applyFont="1" applyFill="1" applyBorder="1"/>
    <xf numFmtId="2" fontId="45" fillId="0" borderId="0" xfId="0" applyNumberFormat="1" applyFont="1" applyBorder="1"/>
    <xf numFmtId="166" fontId="45" fillId="0" borderId="0" xfId="0" applyNumberFormat="1" applyFont="1"/>
    <xf numFmtId="165" fontId="45" fillId="0" borderId="0" xfId="0" applyNumberFormat="1" applyFont="1"/>
    <xf numFmtId="164" fontId="45" fillId="0" borderId="0" xfId="0" applyNumberFormat="1" applyFont="1"/>
    <xf numFmtId="0" fontId="11" fillId="0" borderId="5" xfId="0" applyFont="1" applyFill="1" applyBorder="1" applyAlignment="1">
      <alignment vertical="top" wrapText="1"/>
    </xf>
    <xf numFmtId="49" fontId="11" fillId="0" borderId="4" xfId="1" applyNumberFormat="1" applyFont="1" applyFill="1" applyBorder="1" applyAlignment="1">
      <alignment vertical="top" wrapText="1"/>
    </xf>
    <xf numFmtId="165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4" borderId="3" xfId="1" applyFont="1" applyFill="1" applyBorder="1" applyAlignment="1">
      <alignment wrapText="1"/>
    </xf>
    <xf numFmtId="0" fontId="48" fillId="5" borderId="0" xfId="0" applyFont="1" applyFill="1" applyAlignment="1">
      <alignment horizontal="center"/>
    </xf>
    <xf numFmtId="0" fontId="11" fillId="0" borderId="2" xfId="0" applyFont="1" applyFill="1" applyBorder="1" applyAlignment="1">
      <alignment vertical="center"/>
    </xf>
    <xf numFmtId="0" fontId="11" fillId="0" borderId="15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166" fontId="51" fillId="0" borderId="2" xfId="1" applyNumberFormat="1" applyFont="1" applyFill="1" applyBorder="1" applyAlignment="1">
      <alignment horizontal="right"/>
    </xf>
    <xf numFmtId="165" fontId="51" fillId="0" borderId="2" xfId="0" applyNumberFormat="1" applyFont="1" applyFill="1" applyBorder="1" applyAlignment="1">
      <alignment horizontal="right"/>
    </xf>
    <xf numFmtId="165" fontId="51" fillId="0" borderId="2" xfId="0" applyNumberFormat="1" applyFont="1" applyBorder="1" applyAlignment="1">
      <alignment horizontal="right"/>
    </xf>
    <xf numFmtId="166" fontId="51" fillId="4" borderId="2" xfId="1" applyNumberFormat="1" applyFont="1" applyFill="1" applyBorder="1" applyAlignment="1">
      <alignment horizontal="right"/>
    </xf>
    <xf numFmtId="165" fontId="51" fillId="4" borderId="2" xfId="0" applyNumberFormat="1" applyFont="1" applyFill="1" applyBorder="1" applyAlignment="1">
      <alignment horizontal="right"/>
    </xf>
    <xf numFmtId="166" fontId="51" fillId="4" borderId="2" xfId="0" applyNumberFormat="1" applyFont="1" applyFill="1" applyBorder="1" applyAlignment="1">
      <alignment horizontal="right"/>
    </xf>
    <xf numFmtId="165" fontId="51" fillId="0" borderId="11" xfId="0" applyNumberFormat="1" applyFont="1" applyFill="1" applyBorder="1" applyAlignment="1">
      <alignment horizontal="right"/>
    </xf>
    <xf numFmtId="166" fontId="51" fillId="0" borderId="2" xfId="0" applyNumberFormat="1" applyFont="1" applyFill="1" applyBorder="1" applyAlignment="1">
      <alignment horizontal="right"/>
    </xf>
    <xf numFmtId="165" fontId="51" fillId="0" borderId="2" xfId="1" applyNumberFormat="1" applyFont="1" applyFill="1" applyBorder="1" applyAlignment="1">
      <alignment horizontal="right"/>
    </xf>
    <xf numFmtId="165" fontId="51" fillId="0" borderId="11" xfId="1" applyNumberFormat="1" applyFont="1" applyBorder="1" applyAlignment="1">
      <alignment horizontal="right"/>
    </xf>
    <xf numFmtId="165" fontId="51" fillId="4" borderId="2" xfId="1" applyNumberFormat="1" applyFont="1" applyFill="1" applyBorder="1" applyAlignment="1">
      <alignment horizontal="right"/>
    </xf>
    <xf numFmtId="165" fontId="51" fillId="4" borderId="11" xfId="1" applyNumberFormat="1" applyFont="1" applyFill="1" applyBorder="1" applyAlignment="1">
      <alignment horizontal="right"/>
    </xf>
    <xf numFmtId="165" fontId="51" fillId="0" borderId="10" xfId="1" applyNumberFormat="1" applyFont="1" applyFill="1" applyBorder="1" applyAlignment="1">
      <alignment horizontal="right"/>
    </xf>
    <xf numFmtId="165" fontId="51" fillId="0" borderId="10" xfId="1" applyNumberFormat="1" applyFont="1" applyBorder="1" applyAlignment="1">
      <alignment horizontal="right"/>
    </xf>
    <xf numFmtId="165" fontId="51" fillId="4" borderId="10" xfId="1" applyNumberFormat="1" applyFont="1" applyFill="1" applyBorder="1" applyAlignment="1">
      <alignment horizontal="right"/>
    </xf>
    <xf numFmtId="165" fontId="51" fillId="0" borderId="11" xfId="0" applyNumberFormat="1" applyFont="1" applyBorder="1" applyAlignment="1">
      <alignment horizontal="right"/>
    </xf>
    <xf numFmtId="165" fontId="54" fillId="4" borderId="2" xfId="0" applyNumberFormat="1" applyFont="1" applyFill="1" applyBorder="1" applyAlignment="1">
      <alignment horizontal="right"/>
    </xf>
    <xf numFmtId="0" fontId="14" fillId="0" borderId="2" xfId="0" applyFont="1" applyBorder="1"/>
    <xf numFmtId="0" fontId="44" fillId="0" borderId="11" xfId="0" applyFont="1" applyBorder="1"/>
    <xf numFmtId="0" fontId="44" fillId="0" borderId="11" xfId="0" applyFont="1" applyFill="1" applyBorder="1"/>
    <xf numFmtId="166" fontId="17" fillId="5" borderId="11" xfId="0" applyNumberFormat="1" applyFont="1" applyFill="1" applyBorder="1" applyAlignment="1">
      <alignment horizontal="right"/>
    </xf>
    <xf numFmtId="0" fontId="11" fillId="0" borderId="11" xfId="0" applyFont="1" applyFill="1" applyBorder="1"/>
    <xf numFmtId="165" fontId="17" fillId="6" borderId="11" xfId="0" applyNumberFormat="1" applyFont="1" applyFill="1" applyBorder="1"/>
    <xf numFmtId="166" fontId="25" fillId="6" borderId="2" xfId="0" applyNumberFormat="1" applyFont="1" applyFill="1" applyBorder="1"/>
    <xf numFmtId="165" fontId="11" fillId="0" borderId="2" xfId="0" applyNumberFormat="1" applyFont="1" applyBorder="1"/>
    <xf numFmtId="165" fontId="44" fillId="0" borderId="2" xfId="0" applyNumberFormat="1" applyFont="1" applyBorder="1"/>
    <xf numFmtId="0" fontId="11" fillId="0" borderId="2" xfId="0" applyFont="1" applyBorder="1"/>
    <xf numFmtId="4" fontId="25" fillId="0" borderId="2" xfId="0" applyNumberFormat="1" applyFont="1" applyBorder="1"/>
    <xf numFmtId="4" fontId="25" fillId="4" borderId="2" xfId="0" applyNumberFormat="1" applyFont="1" applyFill="1" applyBorder="1"/>
    <xf numFmtId="0" fontId="50" fillId="0" borderId="1" xfId="1" applyFont="1" applyBorder="1" applyAlignment="1">
      <alignment horizontal="center"/>
    </xf>
    <xf numFmtId="0" fontId="50" fillId="4" borderId="1" xfId="1" applyFont="1" applyFill="1" applyBorder="1" applyAlignment="1">
      <alignment horizontal="center"/>
    </xf>
    <xf numFmtId="166" fontId="50" fillId="5" borderId="2" xfId="1" applyNumberFormat="1" applyFont="1" applyFill="1" applyBorder="1" applyAlignment="1">
      <alignment horizontal="center"/>
    </xf>
    <xf numFmtId="165" fontId="50" fillId="5" borderId="2" xfId="2" applyNumberFormat="1" applyFont="1" applyFill="1" applyBorder="1" applyAlignment="1">
      <alignment horizontal="center"/>
    </xf>
    <xf numFmtId="166" fontId="50" fillId="11" borderId="2" xfId="1" applyNumberFormat="1" applyFont="1" applyFill="1" applyBorder="1" applyAlignment="1">
      <alignment horizontal="center"/>
    </xf>
    <xf numFmtId="166" fontId="51" fillId="0" borderId="2" xfId="1" applyNumberFormat="1" applyFont="1" applyFill="1" applyBorder="1" applyAlignment="1">
      <alignment horizontal="center"/>
    </xf>
    <xf numFmtId="166" fontId="51" fillId="4" borderId="2" xfId="1" applyNumberFormat="1" applyFont="1" applyFill="1" applyBorder="1" applyAlignment="1">
      <alignment horizontal="center"/>
    </xf>
    <xf numFmtId="166" fontId="50" fillId="8" borderId="2" xfId="1" applyNumberFormat="1" applyFont="1" applyFill="1" applyBorder="1" applyAlignment="1">
      <alignment horizontal="center"/>
    </xf>
    <xf numFmtId="166" fontId="51" fillId="8" borderId="2" xfId="1" applyNumberFormat="1" applyFont="1" applyFill="1" applyBorder="1" applyAlignment="1">
      <alignment horizontal="center"/>
    </xf>
    <xf numFmtId="167" fontId="51" fillId="4" borderId="2" xfId="1" applyNumberFormat="1" applyFont="1" applyFill="1" applyBorder="1" applyAlignment="1">
      <alignment horizontal="center"/>
    </xf>
    <xf numFmtId="166" fontId="51" fillId="4" borderId="2" xfId="0" applyNumberFormat="1" applyFont="1" applyFill="1" applyBorder="1" applyAlignment="1">
      <alignment horizontal="center"/>
    </xf>
    <xf numFmtId="167" fontId="51" fillId="0" borderId="2" xfId="1" applyNumberFormat="1" applyFont="1" applyFill="1" applyBorder="1" applyAlignment="1">
      <alignment horizontal="center"/>
    </xf>
    <xf numFmtId="166" fontId="51" fillId="0" borderId="2" xfId="0" applyNumberFormat="1" applyFont="1" applyFill="1" applyBorder="1" applyAlignment="1">
      <alignment horizontal="center"/>
    </xf>
    <xf numFmtId="166" fontId="51" fillId="0" borderId="2" xfId="0" applyNumberFormat="1" applyFont="1" applyFill="1" applyBorder="1"/>
    <xf numFmtId="166" fontId="50" fillId="0" borderId="2" xfId="1" applyNumberFormat="1" applyFont="1" applyFill="1" applyBorder="1" applyAlignment="1">
      <alignment horizontal="center"/>
    </xf>
    <xf numFmtId="166" fontId="50" fillId="0" borderId="2" xfId="0" applyNumberFormat="1" applyFont="1" applyFill="1" applyBorder="1" applyAlignment="1">
      <alignment horizontal="center"/>
    </xf>
    <xf numFmtId="4" fontId="51" fillId="0" borderId="2" xfId="0" applyNumberFormat="1" applyFont="1" applyFill="1" applyBorder="1"/>
    <xf numFmtId="166" fontId="51" fillId="4" borderId="2" xfId="0" applyNumberFormat="1" applyFont="1" applyFill="1" applyBorder="1"/>
    <xf numFmtId="4" fontId="51" fillId="4" borderId="2" xfId="0" applyNumberFormat="1" applyFont="1" applyFill="1" applyBorder="1"/>
    <xf numFmtId="4" fontId="51" fillId="4" borderId="2" xfId="0" applyNumberFormat="1" applyFont="1" applyFill="1" applyBorder="1" applyAlignment="1">
      <alignment horizontal="center"/>
    </xf>
    <xf numFmtId="4" fontId="51" fillId="0" borderId="2" xfId="0" applyNumberFormat="1" applyFont="1" applyFill="1" applyBorder="1" applyAlignment="1">
      <alignment horizontal="center"/>
    </xf>
    <xf numFmtId="4" fontId="51" fillId="4" borderId="2" xfId="1" applyNumberFormat="1" applyFont="1" applyFill="1" applyBorder="1" applyAlignment="1">
      <alignment horizontal="center"/>
    </xf>
    <xf numFmtId="166" fontId="51" fillId="0" borderId="2" xfId="1" applyNumberFormat="1" applyFont="1" applyBorder="1" applyAlignment="1">
      <alignment horizontal="center"/>
    </xf>
    <xf numFmtId="4" fontId="51" fillId="0" borderId="2" xfId="1" applyNumberFormat="1" applyFont="1" applyFill="1" applyBorder="1" applyAlignment="1">
      <alignment horizontal="center"/>
    </xf>
    <xf numFmtId="4" fontId="50" fillId="0" borderId="2" xfId="1" applyNumberFormat="1" applyFont="1" applyFill="1" applyBorder="1" applyAlignment="1">
      <alignment horizontal="center"/>
    </xf>
    <xf numFmtId="4" fontId="50" fillId="0" borderId="2" xfId="0" applyNumberFormat="1" applyFont="1" applyFill="1" applyBorder="1" applyAlignment="1">
      <alignment horizontal="center"/>
    </xf>
    <xf numFmtId="166" fontId="50" fillId="0" borderId="11" xfId="1" applyNumberFormat="1" applyFont="1" applyFill="1" applyBorder="1" applyAlignment="1">
      <alignment horizontal="center"/>
    </xf>
    <xf numFmtId="166" fontId="51" fillId="0" borderId="14" xfId="0" applyNumberFormat="1" applyFont="1" applyFill="1" applyBorder="1" applyAlignment="1">
      <alignment horizontal="center"/>
    </xf>
    <xf numFmtId="166" fontId="51" fillId="0" borderId="11" xfId="0" applyNumberFormat="1" applyFont="1" applyFill="1" applyBorder="1" applyAlignment="1">
      <alignment horizontal="center"/>
    </xf>
    <xf numFmtId="166" fontId="50" fillId="0" borderId="2" xfId="0" applyNumberFormat="1" applyFont="1" applyFill="1" applyBorder="1"/>
    <xf numFmtId="4" fontId="50" fillId="11" borderId="2" xfId="1" applyNumberFormat="1" applyFont="1" applyFill="1" applyBorder="1" applyAlignment="1">
      <alignment horizontal="center"/>
    </xf>
    <xf numFmtId="166" fontId="50" fillId="11" borderId="2" xfId="0" applyNumberFormat="1" applyFont="1" applyFill="1" applyBorder="1"/>
    <xf numFmtId="166" fontId="50" fillId="4" borderId="2" xfId="0" applyNumberFormat="1" applyFont="1" applyFill="1" applyBorder="1"/>
    <xf numFmtId="166" fontId="50" fillId="4" borderId="2" xfId="1" applyNumberFormat="1" applyFont="1" applyFill="1" applyBorder="1" applyAlignment="1">
      <alignment horizontal="center"/>
    </xf>
    <xf numFmtId="166" fontId="50" fillId="4" borderId="2" xfId="0" applyNumberFormat="1" applyFont="1" applyFill="1" applyBorder="1" applyAlignment="1">
      <alignment horizontal="center"/>
    </xf>
    <xf numFmtId="4" fontId="50" fillId="4" borderId="2" xfId="0" applyNumberFormat="1" applyFont="1" applyFill="1" applyBorder="1"/>
    <xf numFmtId="166" fontId="50" fillId="5" borderId="2" xfId="0" applyNumberFormat="1" applyFont="1" applyFill="1" applyBorder="1" applyAlignment="1">
      <alignment horizontal="center"/>
    </xf>
    <xf numFmtId="4" fontId="50" fillId="5" borderId="2" xfId="0" applyNumberFormat="1" applyFont="1" applyFill="1" applyBorder="1"/>
    <xf numFmtId="0" fontId="15" fillId="0" borderId="7" xfId="0" applyFont="1" applyFill="1" applyBorder="1"/>
    <xf numFmtId="2" fontId="7" fillId="0" borderId="2" xfId="0" applyNumberFormat="1" applyFont="1" applyBorder="1"/>
    <xf numFmtId="2" fontId="7" fillId="0" borderId="0" xfId="0" applyNumberFormat="1" applyFont="1"/>
    <xf numFmtId="2" fontId="8" fillId="11" borderId="2" xfId="0" applyNumberFormat="1" applyFont="1" applyFill="1" applyBorder="1"/>
    <xf numFmtId="2" fontId="8" fillId="5" borderId="2" xfId="0" applyNumberFormat="1" applyFont="1" applyFill="1" applyBorder="1"/>
    <xf numFmtId="2" fontId="8" fillId="0" borderId="2" xfId="0" applyNumberFormat="1" applyFont="1" applyBorder="1"/>
    <xf numFmtId="166" fontId="9" fillId="4" borderId="2" xfId="0" applyNumberFormat="1" applyFont="1" applyFill="1" applyBorder="1"/>
    <xf numFmtId="0" fontId="15" fillId="4" borderId="2" xfId="0" applyFont="1" applyFill="1" applyBorder="1"/>
    <xf numFmtId="2" fontId="7" fillId="4" borderId="2" xfId="0" applyNumberFormat="1" applyFont="1" applyFill="1" applyBorder="1"/>
    <xf numFmtId="3" fontId="50" fillId="5" borderId="1" xfId="1" applyNumberFormat="1" applyFont="1" applyFill="1" applyBorder="1" applyAlignment="1">
      <alignment horizontal="center"/>
    </xf>
    <xf numFmtId="3" fontId="50" fillId="5" borderId="10" xfId="1" applyNumberFormat="1" applyFont="1" applyFill="1" applyBorder="1" applyAlignment="1">
      <alignment horizontal="center"/>
    </xf>
    <xf numFmtId="3" fontId="50" fillId="5" borderId="2" xfId="1" applyNumberFormat="1" applyFont="1" applyFill="1" applyBorder="1" applyAlignment="1">
      <alignment horizontal="center"/>
    </xf>
    <xf numFmtId="166" fontId="51" fillId="11" borderId="2" xfId="1" applyNumberFormat="1" applyFont="1" applyFill="1" applyBorder="1" applyAlignment="1">
      <alignment horizontal="center"/>
    </xf>
    <xf numFmtId="0" fontId="51" fillId="11" borderId="2" xfId="0" applyFont="1" applyFill="1" applyBorder="1" applyAlignment="1">
      <alignment horizontal="center"/>
    </xf>
    <xf numFmtId="165" fontId="51" fillId="11" borderId="2" xfId="0" applyNumberFormat="1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/>
    </xf>
    <xf numFmtId="166" fontId="54" fillId="0" borderId="2" xfId="0" applyNumberFormat="1" applyFont="1" applyFill="1" applyBorder="1" applyAlignment="1">
      <alignment horizontal="center"/>
    </xf>
    <xf numFmtId="165" fontId="51" fillId="0" borderId="2" xfId="0" applyNumberFormat="1" applyFont="1" applyFill="1" applyBorder="1" applyAlignment="1">
      <alignment horizontal="center"/>
    </xf>
    <xf numFmtId="4" fontId="51" fillId="11" borderId="2" xfId="1" applyNumberFormat="1" applyFont="1" applyFill="1" applyBorder="1" applyAlignment="1">
      <alignment horizontal="center"/>
    </xf>
    <xf numFmtId="0" fontId="51" fillId="4" borderId="2" xfId="0" applyFont="1" applyFill="1" applyBorder="1" applyAlignment="1">
      <alignment horizontal="center"/>
    </xf>
    <xf numFmtId="0" fontId="51" fillId="11" borderId="2" xfId="0" applyFont="1" applyFill="1" applyBorder="1"/>
    <xf numFmtId="166" fontId="8" fillId="5" borderId="2" xfId="0" applyNumberFormat="1" applyFont="1" applyFill="1" applyBorder="1"/>
    <xf numFmtId="166" fontId="50" fillId="5" borderId="2" xfId="1" applyNumberFormat="1" applyFont="1" applyFill="1" applyBorder="1" applyAlignment="1">
      <alignment horizontal="center" wrapText="1"/>
    </xf>
    <xf numFmtId="166" fontId="50" fillId="5" borderId="1" xfId="1" applyNumberFormat="1" applyFont="1" applyFill="1" applyBorder="1" applyAlignment="1">
      <alignment horizontal="center" wrapText="1"/>
    </xf>
    <xf numFmtId="166" fontId="50" fillId="5" borderId="1" xfId="1" applyNumberFormat="1" applyFont="1" applyFill="1" applyBorder="1" applyAlignment="1">
      <alignment horizontal="center"/>
    </xf>
    <xf numFmtId="165" fontId="50" fillId="11" borderId="2" xfId="1" applyNumberFormat="1" applyFont="1" applyFill="1" applyBorder="1" applyAlignment="1">
      <alignment horizontal="center"/>
    </xf>
    <xf numFmtId="165" fontId="51" fillId="0" borderId="2" xfId="1" applyNumberFormat="1" applyFont="1" applyFill="1" applyBorder="1" applyAlignment="1">
      <alignment horizontal="center"/>
    </xf>
    <xf numFmtId="165" fontId="52" fillId="8" borderId="2" xfId="1" applyNumberFormat="1" applyFont="1" applyFill="1" applyBorder="1" applyAlignment="1">
      <alignment horizontal="center"/>
    </xf>
    <xf numFmtId="0" fontId="52" fillId="8" borderId="2" xfId="0" applyFont="1" applyFill="1" applyBorder="1"/>
    <xf numFmtId="165" fontId="52" fillId="8" borderId="2" xfId="0" applyNumberFormat="1" applyFont="1" applyFill="1" applyBorder="1" applyAlignment="1">
      <alignment horizontal="center"/>
    </xf>
    <xf numFmtId="165" fontId="52" fillId="8" borderId="2" xfId="0" applyNumberFormat="1" applyFont="1" applyFill="1" applyBorder="1"/>
    <xf numFmtId="0" fontId="50" fillId="11" borderId="2" xfId="1" applyFont="1" applyFill="1" applyBorder="1" applyAlignment="1">
      <alignment horizontal="center"/>
    </xf>
    <xf numFmtId="165" fontId="51" fillId="4" borderId="2" xfId="1" applyNumberFormat="1" applyFont="1" applyFill="1" applyBorder="1" applyAlignment="1">
      <alignment horizontal="center"/>
    </xf>
    <xf numFmtId="0" fontId="50" fillId="4" borderId="2" xfId="1" applyFont="1" applyFill="1" applyBorder="1" applyAlignment="1">
      <alignment horizontal="center"/>
    </xf>
    <xf numFmtId="0" fontId="50" fillId="0" borderId="2" xfId="1" applyFont="1" applyFill="1" applyBorder="1" applyAlignment="1">
      <alignment horizontal="center"/>
    </xf>
    <xf numFmtId="165" fontId="51" fillId="8" borderId="2" xfId="1" applyNumberFormat="1" applyFont="1" applyFill="1" applyBorder="1" applyAlignment="1">
      <alignment horizontal="center"/>
    </xf>
    <xf numFmtId="0" fontId="51" fillId="0" borderId="2" xfId="0" applyFont="1" applyBorder="1"/>
    <xf numFmtId="0" fontId="51" fillId="0" borderId="2" xfId="0" applyFont="1" applyFill="1" applyBorder="1"/>
    <xf numFmtId="165" fontId="51" fillId="0" borderId="2" xfId="1" applyNumberFormat="1" applyFont="1" applyBorder="1" applyAlignment="1">
      <alignment horizontal="center"/>
    </xf>
    <xf numFmtId="165" fontId="51" fillId="0" borderId="2" xfId="0" applyNumberFormat="1" applyFont="1" applyFill="1" applyBorder="1"/>
    <xf numFmtId="165" fontId="51" fillId="0" borderId="2" xfId="0" applyNumberFormat="1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2" xfId="0" applyFont="1" applyBorder="1"/>
    <xf numFmtId="0" fontId="30" fillId="4" borderId="2" xfId="0" applyFont="1" applyFill="1" applyBorder="1"/>
    <xf numFmtId="0" fontId="29" fillId="6" borderId="2" xfId="0" applyFont="1" applyFill="1" applyBorder="1" applyAlignment="1">
      <alignment horizontal="left"/>
    </xf>
    <xf numFmtId="0" fontId="29" fillId="6" borderId="2" xfId="0" applyFont="1" applyFill="1" applyBorder="1"/>
    <xf numFmtId="165" fontId="9" fillId="4" borderId="2" xfId="0" applyNumberFormat="1" applyFont="1" applyFill="1" applyBorder="1"/>
    <xf numFmtId="166" fontId="25" fillId="0" borderId="2" xfId="0" applyNumberFormat="1" applyFont="1" applyBorder="1"/>
    <xf numFmtId="166" fontId="22" fillId="6" borderId="2" xfId="0" applyNumberFormat="1" applyFont="1" applyFill="1" applyBorder="1"/>
    <xf numFmtId="4" fontId="17" fillId="0" borderId="2" xfId="0" applyNumberFormat="1" applyFont="1" applyBorder="1"/>
    <xf numFmtId="4" fontId="17" fillId="0" borderId="2" xfId="0" applyNumberFormat="1" applyFont="1" applyFill="1" applyBorder="1"/>
    <xf numFmtId="166" fontId="17" fillId="0" borderId="2" xfId="0" applyNumberFormat="1" applyFont="1" applyBorder="1"/>
    <xf numFmtId="4" fontId="1" fillId="5" borderId="2" xfId="0" applyNumberFormat="1" applyFont="1" applyFill="1" applyBorder="1"/>
    <xf numFmtId="2" fontId="17" fillId="0" borderId="11" xfId="0" applyNumberFormat="1" applyFont="1" applyFill="1" applyBorder="1"/>
    <xf numFmtId="4" fontId="17" fillId="4" borderId="2" xfId="0" applyNumberFormat="1" applyFont="1" applyFill="1" applyBorder="1"/>
    <xf numFmtId="165" fontId="17" fillId="4" borderId="2" xfId="0" applyNumberFormat="1" applyFont="1" applyFill="1" applyBorder="1" applyAlignment="1">
      <alignment horizontal="right"/>
    </xf>
    <xf numFmtId="0" fontId="24" fillId="4" borderId="0" xfId="0" applyFont="1" applyFill="1"/>
    <xf numFmtId="0" fontId="44" fillId="4" borderId="2" xfId="0" applyFont="1" applyFill="1" applyBorder="1"/>
    <xf numFmtId="0" fontId="55" fillId="4" borderId="2" xfId="0" applyFont="1" applyFill="1" applyBorder="1"/>
    <xf numFmtId="0" fontId="17" fillId="4" borderId="2" xfId="0" applyFont="1" applyFill="1" applyBorder="1"/>
    <xf numFmtId="165" fontId="17" fillId="4" borderId="11" xfId="0" applyNumberFormat="1" applyFont="1" applyFill="1" applyBorder="1"/>
    <xf numFmtId="166" fontId="17" fillId="4" borderId="2" xfId="0" applyNumberFormat="1" applyFont="1" applyFill="1" applyBorder="1"/>
    <xf numFmtId="49" fontId="11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right"/>
    </xf>
    <xf numFmtId="165" fontId="7" fillId="4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4" fillId="0" borderId="2" xfId="0" applyFont="1" applyFill="1" applyBorder="1"/>
    <xf numFmtId="165" fontId="11" fillId="0" borderId="2" xfId="0" applyNumberFormat="1" applyFont="1" applyFill="1" applyBorder="1"/>
    <xf numFmtId="0" fontId="55" fillId="0" borderId="2" xfId="0" applyFont="1" applyFill="1" applyBorder="1"/>
    <xf numFmtId="49" fontId="11" fillId="0" borderId="4" xfId="1" applyNumberFormat="1" applyFont="1" applyFill="1" applyBorder="1" applyAlignment="1">
      <alignment wrapText="1"/>
    </xf>
    <xf numFmtId="49" fontId="11" fillId="0" borderId="2" xfId="1" applyNumberFormat="1" applyFont="1" applyFill="1" applyBorder="1" applyAlignment="1">
      <alignment wrapText="1"/>
    </xf>
    <xf numFmtId="3" fontId="50" fillId="4" borderId="2" xfId="1" applyNumberFormat="1" applyFont="1" applyFill="1" applyBorder="1" applyAlignment="1">
      <alignment horizontal="center"/>
    </xf>
    <xf numFmtId="3" fontId="5" fillId="4" borderId="2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wrapText="1"/>
    </xf>
    <xf numFmtId="166" fontId="5" fillId="4" borderId="2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/>
    </xf>
    <xf numFmtId="3" fontId="50" fillId="4" borderId="1" xfId="1" applyNumberFormat="1" applyFont="1" applyFill="1" applyBorder="1" applyAlignment="1">
      <alignment horizontal="center"/>
    </xf>
    <xf numFmtId="3" fontId="50" fillId="4" borderId="10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10" fillId="5" borderId="2" xfId="0" applyNumberFormat="1" applyFont="1" applyFill="1" applyBorder="1"/>
    <xf numFmtId="4" fontId="10" fillId="11" borderId="2" xfId="1" applyNumberFormat="1" applyFont="1" applyFill="1" applyBorder="1" applyAlignment="1">
      <alignment horizontal="center"/>
    </xf>
    <xf numFmtId="166" fontId="10" fillId="11" borderId="2" xfId="0" applyNumberFormat="1" applyFont="1" applyFill="1" applyBorder="1"/>
    <xf numFmtId="0" fontId="9" fillId="4" borderId="2" xfId="1" applyFont="1" applyFill="1" applyBorder="1" applyAlignment="1">
      <alignment horizontal="left" vertical="center" wrapText="1"/>
    </xf>
    <xf numFmtId="166" fontId="9" fillId="4" borderId="2" xfId="1" applyNumberFormat="1" applyFont="1" applyFill="1" applyBorder="1" applyAlignment="1">
      <alignment horizontal="center"/>
    </xf>
    <xf numFmtId="166" fontId="9" fillId="0" borderId="2" xfId="1" applyNumberFormat="1" applyFont="1" applyFill="1" applyBorder="1" applyAlignment="1">
      <alignment horizontal="center"/>
    </xf>
    <xf numFmtId="0" fontId="9" fillId="0" borderId="2" xfId="0" applyFont="1" applyBorder="1"/>
    <xf numFmtId="0" fontId="17" fillId="4" borderId="1" xfId="0" applyFont="1" applyFill="1" applyBorder="1" applyAlignment="1">
      <alignment horizontal="center"/>
    </xf>
    <xf numFmtId="0" fontId="17" fillId="4" borderId="1" xfId="1" applyFont="1" applyFill="1" applyBorder="1" applyAlignment="1">
      <alignment horizontal="left" wrapText="1"/>
    </xf>
    <xf numFmtId="166" fontId="48" fillId="4" borderId="0" xfId="1" applyNumberFormat="1" applyFont="1" applyFill="1" applyBorder="1" applyAlignment="1">
      <alignment horizontal="center"/>
    </xf>
    <xf numFmtId="165" fontId="45" fillId="0" borderId="0" xfId="0" applyNumberFormat="1" applyFont="1" applyBorder="1"/>
    <xf numFmtId="0" fontId="11" fillId="4" borderId="2" xfId="0" applyFont="1" applyFill="1" applyBorder="1" applyAlignment="1">
      <alignment wrapText="1"/>
    </xf>
    <xf numFmtId="4" fontId="8" fillId="5" borderId="2" xfId="1" applyNumberFormat="1" applyFont="1" applyFill="1" applyBorder="1" applyAlignment="1">
      <alignment horizontal="center"/>
    </xf>
    <xf numFmtId="0" fontId="11" fillId="0" borderId="26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left" wrapText="1"/>
    </xf>
    <xf numFmtId="16" fontId="11" fillId="5" borderId="2" xfId="0" applyNumberFormat="1" applyFont="1" applyFill="1" applyBorder="1"/>
    <xf numFmtId="0" fontId="0" fillId="4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7" fillId="0" borderId="2" xfId="0" applyNumberFormat="1" applyFont="1" applyBorder="1"/>
    <xf numFmtId="0" fontId="11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16" fillId="4" borderId="3" xfId="1" applyFont="1" applyFill="1" applyBorder="1" applyAlignment="1">
      <alignment horizontal="left" wrapText="1"/>
    </xf>
    <xf numFmtId="49" fontId="11" fillId="4" borderId="2" xfId="0" applyNumberFormat="1" applyFont="1" applyFill="1" applyBorder="1"/>
    <xf numFmtId="0" fontId="22" fillId="6" borderId="2" xfId="1" applyFont="1" applyFill="1" applyBorder="1" applyAlignment="1">
      <alignment wrapText="1"/>
    </xf>
    <xf numFmtId="0" fontId="25" fillId="6" borderId="1" xfId="0" applyFont="1" applyFill="1" applyBorder="1" applyAlignment="1">
      <alignment wrapText="1"/>
    </xf>
    <xf numFmtId="3" fontId="10" fillId="0" borderId="11" xfId="1" applyNumberFormat="1" applyFont="1" applyBorder="1" applyAlignment="1">
      <alignment horizontal="right"/>
    </xf>
    <xf numFmtId="165" fontId="9" fillId="4" borderId="11" xfId="0" applyNumberFormat="1" applyFont="1" applyFill="1" applyBorder="1"/>
    <xf numFmtId="165" fontId="44" fillId="0" borderId="11" xfId="0" applyNumberFormat="1" applyFont="1" applyBorder="1"/>
    <xf numFmtId="0" fontId="14" fillId="0" borderId="11" xfId="0" applyFont="1" applyBorder="1"/>
    <xf numFmtId="0" fontId="17" fillId="4" borderId="11" xfId="0" applyFont="1" applyFill="1" applyBorder="1"/>
    <xf numFmtId="0" fontId="55" fillId="0" borderId="11" xfId="0" applyFont="1" applyBorder="1"/>
    <xf numFmtId="165" fontId="1" fillId="6" borderId="11" xfId="0" applyNumberFormat="1" applyFont="1" applyFill="1" applyBorder="1" applyAlignment="1">
      <alignment horizontal="right"/>
    </xf>
    <xf numFmtId="4" fontId="17" fillId="0" borderId="11" xfId="0" applyNumberFormat="1" applyFont="1" applyBorder="1"/>
    <xf numFmtId="166" fontId="17" fillId="4" borderId="11" xfId="0" applyNumberFormat="1" applyFont="1" applyFill="1" applyBorder="1"/>
    <xf numFmtId="4" fontId="25" fillId="0" borderId="11" xfId="0" applyNumberFormat="1" applyFont="1" applyBorder="1"/>
    <xf numFmtId="166" fontId="25" fillId="0" borderId="11" xfId="0" applyNumberFormat="1" applyFont="1" applyBorder="1"/>
    <xf numFmtId="4" fontId="25" fillId="4" borderId="11" xfId="0" applyNumberFormat="1" applyFont="1" applyFill="1" applyBorder="1"/>
    <xf numFmtId="166" fontId="17" fillId="0" borderId="11" xfId="0" applyNumberFormat="1" applyFont="1" applyBorder="1"/>
    <xf numFmtId="166" fontId="17" fillId="0" borderId="11" xfId="0" applyNumberFormat="1" applyFont="1" applyFill="1" applyBorder="1"/>
    <xf numFmtId="166" fontId="17" fillId="6" borderId="11" xfId="0" applyNumberFormat="1" applyFont="1" applyFill="1" applyBorder="1"/>
    <xf numFmtId="166" fontId="25" fillId="6" borderId="11" xfId="0" applyNumberFormat="1" applyFont="1" applyFill="1" applyBorder="1"/>
    <xf numFmtId="166" fontId="14" fillId="0" borderId="2" xfId="0" applyNumberFormat="1" applyFont="1" applyBorder="1"/>
    <xf numFmtId="166" fontId="14" fillId="4" borderId="2" xfId="0" applyNumberFormat="1" applyFont="1" applyFill="1" applyBorder="1"/>
    <xf numFmtId="165" fontId="17" fillId="6" borderId="10" xfId="0" applyNumberFormat="1" applyFont="1" applyFill="1" applyBorder="1"/>
    <xf numFmtId="166" fontId="17" fillId="6" borderId="1" xfId="0" applyNumberFormat="1" applyFont="1" applyFill="1" applyBorder="1"/>
    <xf numFmtId="166" fontId="17" fillId="6" borderId="10" xfId="0" applyNumberFormat="1" applyFont="1" applyFill="1" applyBorder="1"/>
    <xf numFmtId="0" fontId="14" fillId="0" borderId="0" xfId="0" applyFont="1" applyBorder="1"/>
    <xf numFmtId="4" fontId="25" fillId="0" borderId="0" xfId="0" applyNumberFormat="1" applyFont="1" applyBorder="1"/>
    <xf numFmtId="166" fontId="17" fillId="13" borderId="2" xfId="0" applyNumberFormat="1" applyFont="1" applyFill="1" applyBorder="1"/>
    <xf numFmtId="166" fontId="1" fillId="6" borderId="2" xfId="0" applyNumberFormat="1" applyFont="1" applyFill="1" applyBorder="1"/>
    <xf numFmtId="166" fontId="22" fillId="0" borderId="2" xfId="0" applyNumberFormat="1" applyFont="1" applyBorder="1"/>
    <xf numFmtId="49" fontId="11" fillId="0" borderId="1" xfId="1" applyNumberFormat="1" applyFont="1" applyFill="1" applyBorder="1" applyAlignment="1">
      <alignment wrapText="1"/>
    </xf>
    <xf numFmtId="4" fontId="17" fillId="0" borderId="1" xfId="0" applyNumberFormat="1" applyFont="1" applyFill="1" applyBorder="1"/>
    <xf numFmtId="49" fontId="16" fillId="6" borderId="4" xfId="1" applyNumberFormat="1" applyFont="1" applyFill="1" applyBorder="1" applyAlignment="1">
      <alignment horizontal="justify"/>
    </xf>
    <xf numFmtId="166" fontId="10" fillId="6" borderId="7" xfId="1" applyNumberFormat="1" applyFont="1" applyFill="1" applyBorder="1" applyAlignment="1">
      <alignment horizontal="right"/>
    </xf>
    <xf numFmtId="166" fontId="1" fillId="6" borderId="7" xfId="0" applyNumberFormat="1" applyFont="1" applyFill="1" applyBorder="1" applyAlignment="1">
      <alignment horizontal="right"/>
    </xf>
    <xf numFmtId="166" fontId="22" fillId="6" borderId="7" xfId="0" applyNumberFormat="1" applyFont="1" applyFill="1" applyBorder="1"/>
    <xf numFmtId="4" fontId="22" fillId="6" borderId="7" xfId="0" applyNumberFormat="1" applyFont="1" applyFill="1" applyBorder="1"/>
    <xf numFmtId="166" fontId="22" fillId="6" borderId="12" xfId="0" applyNumberFormat="1" applyFont="1" applyFill="1" applyBorder="1"/>
    <xf numFmtId="165" fontId="1" fillId="13" borderId="2" xfId="0" applyNumberFormat="1" applyFont="1" applyFill="1" applyBorder="1"/>
    <xf numFmtId="165" fontId="1" fillId="13" borderId="11" xfId="0" applyNumberFormat="1" applyFont="1" applyFill="1" applyBorder="1" applyAlignment="1">
      <alignment horizontal="right"/>
    </xf>
    <xf numFmtId="49" fontId="11" fillId="13" borderId="7" xfId="0" applyNumberFormat="1" applyFont="1" applyFill="1" applyBorder="1" applyAlignment="1">
      <alignment horizontal="center"/>
    </xf>
    <xf numFmtId="0" fontId="11" fillId="13" borderId="2" xfId="1" applyFont="1" applyFill="1" applyBorder="1" applyAlignment="1">
      <alignment horizontal="left" wrapText="1"/>
    </xf>
    <xf numFmtId="0" fontId="16" fillId="13" borderId="4" xfId="1" applyFont="1" applyFill="1" applyBorder="1" applyAlignment="1">
      <alignment horizontal="center" wrapText="1"/>
    </xf>
    <xf numFmtId="166" fontId="10" fillId="13" borderId="2" xfId="1" applyNumberFormat="1" applyFont="1" applyFill="1" applyBorder="1" applyAlignment="1">
      <alignment horizontal="right"/>
    </xf>
    <xf numFmtId="0" fontId="14" fillId="13" borderId="0" xfId="0" applyFont="1" applyFill="1"/>
    <xf numFmtId="49" fontId="11" fillId="13" borderId="2" xfId="0" applyNumberFormat="1" applyFont="1" applyFill="1" applyBorder="1" applyAlignment="1">
      <alignment horizontal="center"/>
    </xf>
    <xf numFmtId="166" fontId="9" fillId="13" borderId="2" xfId="1" applyNumberFormat="1" applyFont="1" applyFill="1" applyBorder="1" applyAlignment="1">
      <alignment horizontal="right"/>
    </xf>
    <xf numFmtId="166" fontId="9" fillId="13" borderId="11" xfId="1" applyNumberFormat="1" applyFont="1" applyFill="1" applyBorder="1" applyAlignment="1">
      <alignment horizontal="right"/>
    </xf>
    <xf numFmtId="166" fontId="1" fillId="13" borderId="2" xfId="0" applyNumberFormat="1" applyFont="1" applyFill="1" applyBorder="1"/>
    <xf numFmtId="166" fontId="29" fillId="0" borderId="2" xfId="0" applyNumberFormat="1" applyFont="1" applyBorder="1"/>
    <xf numFmtId="0" fontId="10" fillId="4" borderId="10" xfId="1" applyFont="1" applyFill="1" applyBorder="1" applyAlignment="1">
      <alignment horizontal="center"/>
    </xf>
    <xf numFmtId="166" fontId="8" fillId="5" borderId="11" xfId="1" applyNumberFormat="1" applyFont="1" applyFill="1" applyBorder="1" applyAlignment="1">
      <alignment horizontal="center"/>
    </xf>
    <xf numFmtId="166" fontId="8" fillId="11" borderId="11" xfId="1" applyNumberFormat="1" applyFont="1" applyFill="1" applyBorder="1" applyAlignment="1">
      <alignment horizontal="right"/>
    </xf>
    <xf numFmtId="165" fontId="7" fillId="0" borderId="11" xfId="0" applyNumberFormat="1" applyFont="1" applyBorder="1"/>
    <xf numFmtId="0" fontId="11" fillId="0" borderId="11" xfId="0" applyFont="1" applyBorder="1"/>
    <xf numFmtId="166" fontId="8" fillId="8" borderId="11" xfId="1" applyNumberFormat="1" applyFont="1" applyFill="1" applyBorder="1" applyAlignment="1">
      <alignment horizontal="center"/>
    </xf>
    <xf numFmtId="2" fontId="7" fillId="0" borderId="11" xfId="0" applyNumberFormat="1" applyFont="1" applyBorder="1"/>
    <xf numFmtId="166" fontId="8" fillId="0" borderId="11" xfId="1" applyNumberFormat="1" applyFont="1" applyFill="1" applyBorder="1" applyAlignment="1">
      <alignment horizontal="center"/>
    </xf>
    <xf numFmtId="165" fontId="7" fillId="0" borderId="11" xfId="0" applyNumberFormat="1" applyFont="1" applyFill="1" applyBorder="1"/>
    <xf numFmtId="166" fontId="8" fillId="11" borderId="11" xfId="1" applyNumberFormat="1" applyFont="1" applyFill="1" applyBorder="1" applyAlignment="1">
      <alignment horizontal="center"/>
    </xf>
    <xf numFmtId="2" fontId="7" fillId="0" borderId="11" xfId="0" applyNumberFormat="1" applyFont="1" applyFill="1" applyBorder="1"/>
    <xf numFmtId="166" fontId="7" fillId="0" borderId="11" xfId="0" applyNumberFormat="1" applyFont="1" applyBorder="1"/>
    <xf numFmtId="166" fontId="8" fillId="0" borderId="11" xfId="1" applyNumberFormat="1" applyFont="1" applyFill="1" applyBorder="1" applyAlignment="1"/>
    <xf numFmtId="0" fontId="9" fillId="0" borderId="2" xfId="0" applyFont="1" applyBorder="1" applyAlignment="1"/>
    <xf numFmtId="166" fontId="10" fillId="0" borderId="2" xfId="0" applyNumberFormat="1" applyFont="1" applyBorder="1"/>
    <xf numFmtId="166" fontId="10" fillId="0" borderId="11" xfId="1" applyNumberFormat="1" applyFont="1" applyFill="1" applyBorder="1" applyAlignment="1">
      <alignment horizontal="center"/>
    </xf>
    <xf numFmtId="166" fontId="8" fillId="8" borderId="2" xfId="0" applyNumberFormat="1" applyFont="1" applyFill="1" applyBorder="1"/>
    <xf numFmtId="166" fontId="10" fillId="8" borderId="2" xfId="0" applyNumberFormat="1" applyFont="1" applyFill="1" applyBorder="1"/>
    <xf numFmtId="166" fontId="10" fillId="11" borderId="11" xfId="1" applyNumberFormat="1" applyFont="1" applyFill="1" applyBorder="1" applyAlignment="1">
      <alignment horizontal="right"/>
    </xf>
    <xf numFmtId="166" fontId="7" fillId="5" borderId="2" xfId="0" applyNumberFormat="1" applyFont="1" applyFill="1" applyBorder="1"/>
    <xf numFmtId="166" fontId="30" fillId="4" borderId="2" xfId="0" applyNumberFormat="1" applyFont="1" applyFill="1" applyBorder="1"/>
    <xf numFmtId="166" fontId="18" fillId="4" borderId="2" xfId="0" applyNumberFormat="1" applyFont="1" applyFill="1" applyBorder="1"/>
    <xf numFmtId="0" fontId="47" fillId="0" borderId="2" xfId="0" applyFont="1" applyBorder="1"/>
    <xf numFmtId="166" fontId="8" fillId="5" borderId="2" xfId="1" applyNumberFormat="1" applyFont="1" applyFill="1" applyBorder="1" applyAlignment="1">
      <alignment horizontal="center" wrapText="1"/>
    </xf>
    <xf numFmtId="166" fontId="8" fillId="5" borderId="1" xfId="1" applyNumberFormat="1" applyFont="1" applyFill="1" applyBorder="1" applyAlignment="1">
      <alignment horizontal="center"/>
    </xf>
    <xf numFmtId="166" fontId="8" fillId="11" borderId="2" xfId="1" applyNumberFormat="1" applyFont="1" applyFill="1" applyBorder="1" applyAlignment="1">
      <alignment horizontal="center" wrapText="1"/>
    </xf>
    <xf numFmtId="165" fontId="8" fillId="11" borderId="2" xfId="1" applyNumberFormat="1" applyFont="1" applyFill="1" applyBorder="1" applyAlignment="1">
      <alignment horizontal="center"/>
    </xf>
    <xf numFmtId="0" fontId="2" fillId="11" borderId="2" xfId="0" applyFont="1" applyFill="1" applyBorder="1"/>
    <xf numFmtId="166" fontId="31" fillId="5" borderId="2" xfId="0" applyNumberFormat="1" applyFont="1" applyFill="1" applyBorder="1"/>
    <xf numFmtId="0" fontId="9" fillId="4" borderId="2" xfId="0" applyFont="1" applyFill="1" applyBorder="1" applyAlignment="1">
      <alignment horizontal="left"/>
    </xf>
    <xf numFmtId="165" fontId="9" fillId="0" borderId="2" xfId="1" applyNumberFormat="1" applyFont="1" applyBorder="1" applyAlignment="1">
      <alignment horizontal="center"/>
    </xf>
    <xf numFmtId="165" fontId="9" fillId="4" borderId="2" xfId="1" applyNumberFormat="1" applyFont="1" applyFill="1" applyBorder="1" applyAlignment="1">
      <alignment horizontal="center"/>
    </xf>
    <xf numFmtId="166" fontId="9" fillId="0" borderId="11" xfId="0" applyNumberFormat="1" applyFont="1" applyBorder="1"/>
    <xf numFmtId="4" fontId="7" fillId="0" borderId="2" xfId="0" applyNumberFormat="1" applyFont="1" applyBorder="1"/>
    <xf numFmtId="4" fontId="7" fillId="0" borderId="2" xfId="0" applyNumberFormat="1" applyFont="1" applyFill="1" applyBorder="1" applyAlignment="1">
      <alignment horizontal="center"/>
    </xf>
    <xf numFmtId="4" fontId="9" fillId="0" borderId="11" xfId="0" applyNumberFormat="1" applyFont="1" applyBorder="1"/>
    <xf numFmtId="0" fontId="7" fillId="0" borderId="2" xfId="0" applyFont="1" applyBorder="1" applyAlignment="1"/>
    <xf numFmtId="169" fontId="47" fillId="13" borderId="0" xfId="0" applyNumberFormat="1" applyFont="1" applyFill="1"/>
    <xf numFmtId="165" fontId="17" fillId="0" borderId="11" xfId="0" applyNumberFormat="1" applyFont="1" applyFill="1" applyBorder="1" applyAlignment="1">
      <alignment horizontal="right"/>
    </xf>
    <xf numFmtId="166" fontId="44" fillId="4" borderId="2" xfId="0" applyNumberFormat="1" applyFont="1" applyFill="1" applyBorder="1"/>
    <xf numFmtId="165" fontId="44" fillId="0" borderId="2" xfId="0" applyNumberFormat="1" applyFont="1" applyFill="1" applyBorder="1"/>
    <xf numFmtId="165" fontId="17" fillId="0" borderId="11" xfId="0" applyNumberFormat="1" applyFont="1" applyFill="1" applyBorder="1"/>
    <xf numFmtId="0" fontId="16" fillId="0" borderId="2" xfId="0" applyFont="1" applyFill="1" applyBorder="1" applyAlignment="1">
      <alignment vertical="top" wrapText="1"/>
    </xf>
    <xf numFmtId="0" fontId="10" fillId="0" borderId="5" xfId="1" applyFont="1" applyBorder="1" applyAlignment="1">
      <alignment horizontal="left" vertical="top" wrapText="1"/>
    </xf>
    <xf numFmtId="165" fontId="17" fillId="4" borderId="2" xfId="0" applyNumberFormat="1" applyFont="1" applyFill="1" applyBorder="1"/>
    <xf numFmtId="3" fontId="25" fillId="0" borderId="0" xfId="0" applyNumberFormat="1" applyFont="1" applyBorder="1"/>
    <xf numFmtId="164" fontId="17" fillId="4" borderId="2" xfId="0" applyNumberFormat="1" applyFont="1" applyFill="1" applyBorder="1"/>
    <xf numFmtId="0" fontId="11" fillId="2" borderId="5" xfId="1" applyFont="1" applyFill="1" applyBorder="1" applyAlignment="1">
      <alignment horizontal="left" wrapText="1"/>
    </xf>
    <xf numFmtId="4" fontId="30" fillId="0" borderId="2" xfId="0" applyNumberFormat="1" applyFont="1" applyBorder="1"/>
    <xf numFmtId="0" fontId="9" fillId="0" borderId="11" xfId="0" applyFont="1" applyBorder="1"/>
    <xf numFmtId="0" fontId="1" fillId="0" borderId="2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49" fontId="16" fillId="6" borderId="7" xfId="0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right"/>
    </xf>
    <xf numFmtId="49" fontId="16" fillId="0" borderId="2" xfId="0" applyNumberFormat="1" applyFont="1" applyBorder="1" applyAlignment="1"/>
    <xf numFmtId="165" fontId="10" fillId="5" borderId="2" xfId="1" applyNumberFormat="1" applyFont="1" applyFill="1" applyBorder="1" applyAlignment="1">
      <alignment horizontal="right"/>
    </xf>
    <xf numFmtId="165" fontId="10" fillId="6" borderId="2" xfId="1" applyNumberFormat="1" applyFont="1" applyFill="1" applyBorder="1" applyAlignment="1">
      <alignment horizontal="right"/>
    </xf>
    <xf numFmtId="165" fontId="10" fillId="5" borderId="11" xfId="1" applyNumberFormat="1" applyFont="1" applyFill="1" applyBorder="1" applyAlignment="1">
      <alignment horizontal="right"/>
    </xf>
    <xf numFmtId="166" fontId="11" fillId="0" borderId="2" xfId="0" applyNumberFormat="1" applyFont="1" applyFill="1" applyBorder="1"/>
    <xf numFmtId="0" fontId="45" fillId="0" borderId="0" xfId="0" applyFont="1" applyFill="1"/>
    <xf numFmtId="3" fontId="46" fillId="0" borderId="2" xfId="1" applyNumberFormat="1" applyFont="1" applyFill="1" applyBorder="1" applyAlignment="1">
      <alignment horizontal="center"/>
    </xf>
    <xf numFmtId="3" fontId="46" fillId="13" borderId="2" xfId="1" applyNumberFormat="1" applyFont="1" applyFill="1" applyBorder="1" applyAlignment="1">
      <alignment horizontal="center"/>
    </xf>
    <xf numFmtId="165" fontId="47" fillId="0" borderId="2" xfId="0" applyNumberFormat="1" applyFont="1" applyFill="1" applyBorder="1"/>
    <xf numFmtId="165" fontId="45" fillId="0" borderId="2" xfId="0" applyNumberFormat="1" applyFont="1" applyFill="1" applyBorder="1"/>
    <xf numFmtId="173" fontId="45" fillId="0" borderId="0" xfId="0" applyNumberFormat="1" applyFont="1" applyFill="1"/>
    <xf numFmtId="165" fontId="45" fillId="13" borderId="0" xfId="0" applyNumberFormat="1" applyFont="1" applyFill="1"/>
    <xf numFmtId="1" fontId="46" fillId="0" borderId="2" xfId="1" applyNumberFormat="1" applyFont="1" applyFill="1" applyBorder="1" applyAlignment="1">
      <alignment horizontal="center"/>
    </xf>
    <xf numFmtId="1" fontId="45" fillId="0" borderId="0" xfId="0" applyNumberFormat="1" applyFont="1" applyFill="1"/>
    <xf numFmtId="173" fontId="45" fillId="0" borderId="0" xfId="0" applyNumberFormat="1" applyFont="1" applyFill="1" applyBorder="1"/>
    <xf numFmtId="165" fontId="45" fillId="13" borderId="0" xfId="0" applyNumberFormat="1" applyFont="1" applyFill="1" applyBorder="1"/>
    <xf numFmtId="0" fontId="16" fillId="0" borderId="13" xfId="1" applyFont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3" fontId="46" fillId="4" borderId="2" xfId="1" applyNumberFormat="1" applyFont="1" applyFill="1" applyBorder="1" applyAlignment="1">
      <alignment horizontal="center"/>
    </xf>
    <xf numFmtId="165" fontId="47" fillId="4" borderId="2" xfId="0" applyNumberFormat="1" applyFont="1" applyFill="1" applyBorder="1"/>
    <xf numFmtId="165" fontId="45" fillId="4" borderId="2" xfId="0" applyNumberFormat="1" applyFont="1" applyFill="1" applyBorder="1"/>
    <xf numFmtId="165" fontId="45" fillId="4" borderId="0" xfId="0" applyNumberFormat="1" applyFont="1" applyFill="1"/>
    <xf numFmtId="165" fontId="45" fillId="4" borderId="0" xfId="0" applyNumberFormat="1" applyFont="1" applyFill="1" applyBorder="1"/>
    <xf numFmtId="0" fontId="45" fillId="4" borderId="0" xfId="0" applyFont="1" applyFill="1"/>
    <xf numFmtId="166" fontId="45" fillId="4" borderId="0" xfId="0" applyNumberFormat="1" applyFont="1" applyFill="1"/>
    <xf numFmtId="0" fontId="11" fillId="0" borderId="7" xfId="0" applyFont="1" applyBorder="1" applyAlignment="1">
      <alignment wrapText="1"/>
    </xf>
    <xf numFmtId="2" fontId="11" fillId="0" borderId="2" xfId="0" applyNumberFormat="1" applyFont="1" applyBorder="1" applyAlignment="1">
      <alignment vertical="center" wrapText="1"/>
    </xf>
    <xf numFmtId="166" fontId="7" fillId="4" borderId="2" xfId="0" applyNumberFormat="1" applyFont="1" applyFill="1" applyBorder="1" applyAlignment="1">
      <alignment horizontal="center"/>
    </xf>
    <xf numFmtId="165" fontId="45" fillId="13" borderId="2" xfId="0" applyNumberFormat="1" applyFont="1" applyFill="1" applyBorder="1"/>
    <xf numFmtId="49" fontId="11" fillId="17" borderId="2" xfId="0" applyNumberFormat="1" applyFont="1" applyFill="1" applyBorder="1" applyAlignment="1">
      <alignment horizontal="center"/>
    </xf>
    <xf numFmtId="0" fontId="11" fillId="17" borderId="5" xfId="1" applyFont="1" applyFill="1" applyBorder="1" applyAlignment="1">
      <alignment horizontal="left" wrapText="1"/>
    </xf>
    <xf numFmtId="166" fontId="9" fillId="17" borderId="2" xfId="1" applyNumberFormat="1" applyFont="1" applyFill="1" applyBorder="1" applyAlignment="1">
      <alignment horizontal="right"/>
    </xf>
    <xf numFmtId="0" fontId="15" fillId="17" borderId="0" xfId="0" applyFont="1" applyFill="1"/>
    <xf numFmtId="165" fontId="9" fillId="17" borderId="2" xfId="0" applyNumberFormat="1" applyFont="1" applyFill="1" applyBorder="1"/>
    <xf numFmtId="165" fontId="9" fillId="17" borderId="11" xfId="0" applyNumberFormat="1" applyFont="1" applyFill="1" applyBorder="1"/>
    <xf numFmtId="166" fontId="9" fillId="17" borderId="2" xfId="0" applyNumberFormat="1" applyFont="1" applyFill="1" applyBorder="1"/>
    <xf numFmtId="0" fontId="11" fillId="17" borderId="2" xfId="1" applyFont="1" applyFill="1" applyBorder="1" applyAlignment="1">
      <alignment horizontal="left" wrapText="1"/>
    </xf>
    <xf numFmtId="0" fontId="24" fillId="17" borderId="0" xfId="0" applyFont="1" applyFill="1"/>
    <xf numFmtId="49" fontId="11" fillId="17" borderId="1" xfId="0" applyNumberFormat="1" applyFont="1" applyFill="1" applyBorder="1" applyAlignment="1">
      <alignment horizontal="center"/>
    </xf>
    <xf numFmtId="0" fontId="11" fillId="17" borderId="6" xfId="1" applyFont="1" applyFill="1" applyBorder="1" applyAlignment="1">
      <alignment horizontal="left" wrapText="1"/>
    </xf>
    <xf numFmtId="49" fontId="11" fillId="17" borderId="1" xfId="1" applyNumberFormat="1" applyFont="1" applyFill="1" applyBorder="1" applyAlignment="1">
      <alignment wrapText="1"/>
    </xf>
    <xf numFmtId="0" fontId="11" fillId="17" borderId="3" xfId="1" applyFont="1" applyFill="1" applyBorder="1" applyAlignment="1">
      <alignment horizontal="left" wrapText="1"/>
    </xf>
    <xf numFmtId="166" fontId="9" fillId="17" borderId="1" xfId="1" applyNumberFormat="1" applyFont="1" applyFill="1" applyBorder="1" applyAlignment="1">
      <alignment horizontal="right"/>
    </xf>
    <xf numFmtId="0" fontId="14" fillId="17" borderId="0" xfId="0" applyFont="1" applyFill="1"/>
    <xf numFmtId="166" fontId="17" fillId="17" borderId="2" xfId="0" applyNumberFormat="1" applyFont="1" applyFill="1" applyBorder="1"/>
    <xf numFmtId="166" fontId="9" fillId="4" borderId="1" xfId="1" applyNumberFormat="1" applyFont="1" applyFill="1" applyBorder="1" applyAlignment="1">
      <alignment horizontal="right"/>
    </xf>
    <xf numFmtId="166" fontId="1" fillId="5" borderId="11" xfId="0" applyNumberFormat="1" applyFont="1" applyFill="1" applyBorder="1"/>
    <xf numFmtId="0" fontId="16" fillId="4" borderId="5" xfId="1" applyFont="1" applyFill="1" applyBorder="1" applyAlignment="1">
      <alignment horizontal="left" wrapText="1"/>
    </xf>
    <xf numFmtId="0" fontId="11" fillId="0" borderId="2" xfId="0" applyFont="1" applyFill="1" applyBorder="1" applyAlignment="1"/>
    <xf numFmtId="166" fontId="17" fillId="17" borderId="1" xfId="0" applyNumberFormat="1" applyFont="1" applyFill="1" applyBorder="1"/>
    <xf numFmtId="166" fontId="44" fillId="17" borderId="1" xfId="0" applyNumberFormat="1" applyFont="1" applyFill="1" applyBorder="1"/>
    <xf numFmtId="166" fontId="17" fillId="17" borderId="10" xfId="0" applyNumberFormat="1" applyFont="1" applyFill="1" applyBorder="1"/>
    <xf numFmtId="166" fontId="17" fillId="0" borderId="1" xfId="0" applyNumberFormat="1" applyFont="1" applyFill="1" applyBorder="1"/>
    <xf numFmtId="166" fontId="44" fillId="0" borderId="1" xfId="0" applyNumberFormat="1" applyFont="1" applyFill="1" applyBorder="1"/>
    <xf numFmtId="166" fontId="9" fillId="17" borderId="11" xfId="0" applyNumberFormat="1" applyFont="1" applyFill="1" applyBorder="1"/>
    <xf numFmtId="165" fontId="45" fillId="4" borderId="0" xfId="0" applyNumberFormat="1" applyFont="1" applyFill="1" applyAlignment="1">
      <alignment horizontal="right"/>
    </xf>
    <xf numFmtId="168" fontId="45" fillId="4" borderId="0" xfId="0" applyNumberFormat="1" applyFont="1" applyFill="1"/>
    <xf numFmtId="168" fontId="47" fillId="4" borderId="0" xfId="0" applyNumberFormat="1" applyFont="1" applyFill="1"/>
    <xf numFmtId="173" fontId="47" fillId="4" borderId="0" xfId="0" applyNumberFormat="1" applyFont="1" applyFill="1"/>
    <xf numFmtId="165" fontId="61" fillId="4" borderId="0" xfId="0" applyNumberFormat="1" applyFont="1" applyFill="1"/>
    <xf numFmtId="166" fontId="47" fillId="4" borderId="0" xfId="0" applyNumberFormat="1" applyFont="1" applyFill="1"/>
    <xf numFmtId="173" fontId="45" fillId="4" borderId="0" xfId="0" applyNumberFormat="1" applyFont="1" applyFill="1"/>
    <xf numFmtId="2" fontId="45" fillId="4" borderId="0" xfId="0" applyNumberFormat="1" applyFont="1" applyFill="1"/>
    <xf numFmtId="165" fontId="47" fillId="4" borderId="0" xfId="0" applyNumberFormat="1" applyFont="1" applyFill="1"/>
    <xf numFmtId="164" fontId="45" fillId="4" borderId="0" xfId="0" applyNumberFormat="1" applyFont="1" applyFill="1"/>
    <xf numFmtId="169" fontId="45" fillId="4" borderId="0" xfId="0" applyNumberFormat="1" applyFont="1" applyFill="1"/>
    <xf numFmtId="0" fontId="47" fillId="4" borderId="0" xfId="0" applyFont="1" applyFill="1"/>
    <xf numFmtId="0" fontId="10" fillId="6" borderId="2" xfId="0" applyFont="1" applyFill="1" applyBorder="1"/>
    <xf numFmtId="0" fontId="9" fillId="6" borderId="2" xfId="0" applyFont="1" applyFill="1" applyBorder="1"/>
    <xf numFmtId="3" fontId="51" fillId="4" borderId="2" xfId="1" applyNumberFormat="1" applyFont="1" applyFill="1" applyBorder="1" applyAlignment="1">
      <alignment horizontal="center"/>
    </xf>
    <xf numFmtId="165" fontId="8" fillId="11" borderId="2" xfId="1" applyNumberFormat="1" applyFont="1" applyFill="1" applyBorder="1" applyAlignment="1">
      <alignment horizontal="right"/>
    </xf>
    <xf numFmtId="170" fontId="8" fillId="11" borderId="2" xfId="1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/>
    </xf>
    <xf numFmtId="170" fontId="9" fillId="17" borderId="2" xfId="0" applyNumberFormat="1" applyFont="1" applyFill="1" applyBorder="1"/>
    <xf numFmtId="16" fontId="10" fillId="6" borderId="2" xfId="0" applyNumberFormat="1" applyFont="1" applyFill="1" applyBorder="1"/>
    <xf numFmtId="0" fontId="10" fillId="6" borderId="0" xfId="0" applyFont="1" applyFill="1" applyAlignment="1">
      <alignment wrapText="1"/>
    </xf>
    <xf numFmtId="0" fontId="9" fillId="6" borderId="2" xfId="0" applyFont="1" applyFill="1" applyBorder="1" applyAlignment="1">
      <alignment horizontal="left" wrapText="1"/>
    </xf>
    <xf numFmtId="166" fontId="9" fillId="6" borderId="2" xfId="1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49" fontId="10" fillId="6" borderId="2" xfId="0" applyNumberFormat="1" applyFont="1" applyFill="1" applyBorder="1"/>
    <xf numFmtId="0" fontId="10" fillId="6" borderId="2" xfId="0" applyFont="1" applyFill="1" applyBorder="1" applyAlignment="1">
      <alignment wrapText="1"/>
    </xf>
    <xf numFmtId="0" fontId="10" fillId="6" borderId="2" xfId="1" applyFont="1" applyFill="1" applyBorder="1" applyAlignment="1">
      <alignment horizontal="left" vertical="top" wrapText="1"/>
    </xf>
    <xf numFmtId="0" fontId="7" fillId="6" borderId="0" xfId="0" applyFont="1" applyFill="1" applyAlignment="1">
      <alignment horizontal="left" wrapText="1"/>
    </xf>
    <xf numFmtId="0" fontId="10" fillId="6" borderId="2" xfId="1" applyFont="1" applyFill="1" applyBorder="1" applyAlignment="1">
      <alignment horizontal="left" wrapText="1"/>
    </xf>
    <xf numFmtId="166" fontId="10" fillId="6" borderId="2" xfId="1" applyNumberFormat="1" applyFont="1" applyFill="1" applyBorder="1" applyAlignment="1">
      <alignment horizontal="center"/>
    </xf>
    <xf numFmtId="165" fontId="10" fillId="6" borderId="2" xfId="1" applyNumberFormat="1" applyFont="1" applyFill="1" applyBorder="1" applyAlignment="1">
      <alignment horizontal="center"/>
    </xf>
    <xf numFmtId="165" fontId="9" fillId="6" borderId="2" xfId="1" applyNumberFormat="1" applyFont="1" applyFill="1" applyBorder="1" applyAlignment="1">
      <alignment horizontal="center"/>
    </xf>
    <xf numFmtId="166" fontId="10" fillId="6" borderId="2" xfId="0" applyNumberFormat="1" applyFont="1" applyFill="1" applyBorder="1"/>
    <xf numFmtId="166" fontId="10" fillId="6" borderId="11" xfId="0" applyNumberFormat="1" applyFont="1" applyFill="1" applyBorder="1"/>
    <xf numFmtId="0" fontId="10" fillId="6" borderId="1" xfId="1" applyFont="1" applyFill="1" applyBorder="1" applyAlignment="1">
      <alignment horizontal="left" vertical="top" wrapText="1"/>
    </xf>
    <xf numFmtId="166" fontId="9" fillId="6" borderId="1" xfId="1" applyNumberFormat="1" applyFont="1" applyFill="1" applyBorder="1" applyAlignment="1">
      <alignment horizontal="center"/>
    </xf>
    <xf numFmtId="0" fontId="7" fillId="6" borderId="1" xfId="0" applyFont="1" applyFill="1" applyBorder="1"/>
    <xf numFmtId="165" fontId="7" fillId="6" borderId="1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vertical="top" wrapText="1"/>
    </xf>
    <xf numFmtId="166" fontId="10" fillId="6" borderId="1" xfId="1" applyNumberFormat="1" applyFont="1" applyFill="1" applyBorder="1" applyAlignment="1">
      <alignment horizontal="center"/>
    </xf>
    <xf numFmtId="166" fontId="10" fillId="6" borderId="1" xfId="0" applyNumberFormat="1" applyFont="1" applyFill="1" applyBorder="1"/>
    <xf numFmtId="166" fontId="8" fillId="6" borderId="1" xfId="0" applyNumberFormat="1" applyFont="1" applyFill="1" applyBorder="1"/>
    <xf numFmtId="166" fontId="8" fillId="6" borderId="2" xfId="0" applyNumberFormat="1" applyFont="1" applyFill="1" applyBorder="1"/>
    <xf numFmtId="0" fontId="8" fillId="6" borderId="2" xfId="0" applyFont="1" applyFill="1" applyBorder="1"/>
    <xf numFmtId="165" fontId="8" fillId="6" borderId="2" xfId="0" applyNumberFormat="1" applyFont="1" applyFill="1" applyBorder="1"/>
    <xf numFmtId="0" fontId="10" fillId="6" borderId="1" xfId="0" applyFont="1" applyFill="1" applyBorder="1"/>
    <xf numFmtId="4" fontId="8" fillId="6" borderId="2" xfId="0" applyNumberFormat="1" applyFont="1" applyFill="1" applyBorder="1"/>
    <xf numFmtId="166" fontId="8" fillId="0" borderId="2" xfId="1" applyNumberFormat="1" applyFont="1" applyFill="1" applyBorder="1" applyAlignment="1"/>
    <xf numFmtId="171" fontId="44" fillId="0" borderId="2" xfId="0" applyNumberFormat="1" applyFont="1" applyFill="1" applyBorder="1"/>
    <xf numFmtId="171" fontId="17" fillId="0" borderId="2" xfId="0" applyNumberFormat="1" applyFont="1" applyFill="1" applyBorder="1"/>
    <xf numFmtId="171" fontId="17" fillId="0" borderId="11" xfId="0" applyNumberFormat="1" applyFont="1" applyFill="1" applyBorder="1"/>
    <xf numFmtId="171" fontId="44" fillId="0" borderId="11" xfId="0" applyNumberFormat="1" applyFont="1" applyFill="1" applyBorder="1"/>
    <xf numFmtId="166" fontId="1" fillId="6" borderId="12" xfId="0" applyNumberFormat="1" applyFont="1" applyFill="1" applyBorder="1" applyAlignment="1">
      <alignment horizontal="right"/>
    </xf>
    <xf numFmtId="165" fontId="7" fillId="4" borderId="11" xfId="0" applyNumberFormat="1" applyFont="1" applyFill="1" applyBorder="1"/>
    <xf numFmtId="0" fontId="8" fillId="11" borderId="2" xfId="0" applyFont="1" applyFill="1" applyBorder="1" applyAlignment="1"/>
    <xf numFmtId="1" fontId="46" fillId="0" borderId="2" xfId="1" applyNumberFormat="1" applyFont="1" applyBorder="1" applyAlignment="1">
      <alignment horizontal="center"/>
    </xf>
    <xf numFmtId="1" fontId="46" fillId="13" borderId="2" xfId="1" applyNumberFormat="1" applyFont="1" applyFill="1" applyBorder="1" applyAlignment="1">
      <alignment horizontal="center"/>
    </xf>
    <xf numFmtId="1" fontId="46" fillId="4" borderId="2" xfId="1" applyNumberFormat="1" applyFont="1" applyFill="1" applyBorder="1" applyAlignment="1">
      <alignment horizontal="center"/>
    </xf>
    <xf numFmtId="165" fontId="47" fillId="0" borderId="2" xfId="0" applyNumberFormat="1" applyFont="1" applyBorder="1" applyAlignment="1">
      <alignment horizontal="center"/>
    </xf>
    <xf numFmtId="1" fontId="47" fillId="0" borderId="2" xfId="0" applyNumberFormat="1" applyFont="1" applyBorder="1" applyAlignment="1">
      <alignment horizontal="center"/>
    </xf>
    <xf numFmtId="166" fontId="50" fillId="11" borderId="2" xfId="1" applyNumberFormat="1" applyFont="1" applyFill="1" applyBorder="1" applyAlignment="1"/>
    <xf numFmtId="166" fontId="51" fillId="0" borderId="2" xfId="0" applyNumberFormat="1" applyFont="1" applyBorder="1" applyAlignment="1">
      <alignment horizontal="center"/>
    </xf>
    <xf numFmtId="166" fontId="51" fillId="0" borderId="2" xfId="0" applyNumberFormat="1" applyFont="1" applyFill="1" applyBorder="1" applyAlignment="1"/>
    <xf numFmtId="166" fontId="52" fillId="4" borderId="1" xfId="1" applyNumberFormat="1" applyFont="1" applyFill="1" applyBorder="1" applyAlignment="1">
      <alignment horizontal="center"/>
    </xf>
    <xf numFmtId="0" fontId="52" fillId="4" borderId="1" xfId="0" applyFont="1" applyFill="1" applyBorder="1"/>
    <xf numFmtId="0" fontId="52" fillId="4" borderId="1" xfId="0" applyFont="1" applyFill="1" applyBorder="1" applyAlignment="1">
      <alignment horizontal="center"/>
    </xf>
    <xf numFmtId="165" fontId="50" fillId="5" borderId="2" xfId="0" applyNumberFormat="1" applyFont="1" applyFill="1" applyBorder="1"/>
    <xf numFmtId="165" fontId="50" fillId="5" borderId="2" xfId="0" applyNumberFormat="1" applyFont="1" applyFill="1" applyBorder="1" applyAlignment="1">
      <alignment horizontal="center"/>
    </xf>
    <xf numFmtId="165" fontId="52" fillId="4" borderId="1" xfId="0" applyNumberFormat="1" applyFont="1" applyFill="1" applyBorder="1"/>
    <xf numFmtId="165" fontId="51" fillId="0" borderId="2" xfId="0" applyNumberFormat="1" applyFont="1" applyBorder="1"/>
    <xf numFmtId="167" fontId="51" fillId="0" borderId="2" xfId="0" applyNumberFormat="1" applyFont="1" applyFill="1" applyBorder="1"/>
    <xf numFmtId="0" fontId="54" fillId="0" borderId="2" xfId="0" applyFont="1" applyFill="1" applyBorder="1"/>
    <xf numFmtId="166" fontId="52" fillId="4" borderId="2" xfId="1" applyNumberFormat="1" applyFont="1" applyFill="1" applyBorder="1" applyAlignment="1">
      <alignment horizontal="center"/>
    </xf>
    <xf numFmtId="0" fontId="64" fillId="4" borderId="2" xfId="0" applyFont="1" applyFill="1" applyBorder="1" applyAlignment="1">
      <alignment horizontal="center"/>
    </xf>
    <xf numFmtId="166" fontId="52" fillId="4" borderId="2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/>
    <xf numFmtId="166" fontId="52" fillId="0" borderId="2" xfId="1" applyNumberFormat="1" applyFont="1" applyFill="1" applyBorder="1" applyAlignment="1">
      <alignment horizontal="center"/>
    </xf>
    <xf numFmtId="0" fontId="64" fillId="0" borderId="2" xfId="0" applyFont="1" applyFill="1" applyBorder="1"/>
    <xf numFmtId="165" fontId="51" fillId="0" borderId="2" xfId="0" applyNumberFormat="1" applyFont="1" applyFill="1" applyBorder="1" applyAlignment="1"/>
    <xf numFmtId="165" fontId="50" fillId="11" borderId="2" xfId="0" applyNumberFormat="1" applyFont="1" applyFill="1" applyBorder="1" applyAlignment="1">
      <alignment horizontal="center"/>
    </xf>
    <xf numFmtId="165" fontId="50" fillId="11" borderId="2" xfId="0" applyNumberFormat="1" applyFont="1" applyFill="1" applyBorder="1"/>
    <xf numFmtId="0" fontId="50" fillId="11" borderId="2" xfId="0" applyFont="1" applyFill="1" applyBorder="1" applyAlignment="1">
      <alignment horizontal="center"/>
    </xf>
    <xf numFmtId="0" fontId="51" fillId="0" borderId="2" xfId="0" applyFont="1" applyFill="1" applyBorder="1" applyAlignment="1"/>
    <xf numFmtId="165" fontId="52" fillId="0" borderId="2" xfId="0" applyNumberFormat="1" applyFont="1" applyFill="1" applyBorder="1" applyAlignment="1">
      <alignment horizontal="center"/>
    </xf>
    <xf numFmtId="165" fontId="51" fillId="11" borderId="2" xfId="0" applyNumberFormat="1" applyFont="1" applyFill="1" applyBorder="1"/>
    <xf numFmtId="166" fontId="51" fillId="6" borderId="2" xfId="1" applyNumberFormat="1" applyFont="1" applyFill="1" applyBorder="1" applyAlignment="1">
      <alignment horizontal="center"/>
    </xf>
    <xf numFmtId="0" fontId="54" fillId="4" borderId="2" xfId="0" applyFont="1" applyFill="1" applyBorder="1"/>
    <xf numFmtId="0" fontId="8" fillId="5" borderId="2" xfId="1" applyFont="1" applyFill="1" applyBorder="1" applyAlignment="1">
      <alignment horizontal="left" wrapText="1"/>
    </xf>
    <xf numFmtId="0" fontId="7" fillId="11" borderId="2" xfId="1" applyFont="1" applyFill="1" applyBorder="1" applyAlignment="1">
      <alignment horizontal="left" wrapText="1"/>
    </xf>
    <xf numFmtId="0" fontId="8" fillId="0" borderId="2" xfId="0" applyFont="1" applyFill="1" applyBorder="1"/>
    <xf numFmtId="0" fontId="7" fillId="0" borderId="2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center"/>
    </xf>
    <xf numFmtId="0" fontId="7" fillId="8" borderId="1" xfId="1" applyFont="1" applyFill="1" applyBorder="1" applyAlignment="1">
      <alignment horizontal="left" vertical="center" wrapText="1"/>
    </xf>
    <xf numFmtId="0" fontId="8" fillId="4" borderId="2" xfId="0" applyFont="1" applyFill="1" applyBorder="1"/>
    <xf numFmtId="0" fontId="7" fillId="4" borderId="2" xfId="1" applyFont="1" applyFill="1" applyBorder="1" applyAlignment="1">
      <alignment horizontal="left" wrapText="1"/>
    </xf>
    <xf numFmtId="0" fontId="8" fillId="11" borderId="2" xfId="0" applyFont="1" applyFill="1" applyBorder="1" applyAlignment="1">
      <alignment wrapText="1"/>
    </xf>
    <xf numFmtId="0" fontId="8" fillId="11" borderId="2" xfId="1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166" fontId="8" fillId="5" borderId="2" xfId="1" applyNumberFormat="1" applyFont="1" applyFill="1" applyBorder="1" applyAlignment="1">
      <alignment horizontal="right"/>
    </xf>
    <xf numFmtId="166" fontId="50" fillId="11" borderId="2" xfId="0" applyNumberFormat="1" applyFont="1" applyFill="1" applyBorder="1" applyAlignment="1">
      <alignment horizontal="center"/>
    </xf>
    <xf numFmtId="4" fontId="10" fillId="5" borderId="2" xfId="1" applyNumberFormat="1" applyFont="1" applyFill="1" applyBorder="1" applyAlignment="1">
      <alignment horizontal="center"/>
    </xf>
    <xf numFmtId="166" fontId="10" fillId="11" borderId="2" xfId="1" applyNumberFormat="1" applyFont="1" applyFill="1" applyBorder="1" applyAlignment="1">
      <alignment horizontal="right"/>
    </xf>
    <xf numFmtId="0" fontId="54" fillId="0" borderId="0" xfId="0" applyFont="1"/>
    <xf numFmtId="166" fontId="50" fillId="11" borderId="2" xfId="1" applyNumberFormat="1" applyFont="1" applyFill="1" applyBorder="1" applyAlignment="1">
      <alignment horizontal="right"/>
    </xf>
    <xf numFmtId="166" fontId="50" fillId="5" borderId="2" xfId="0" applyNumberFormat="1" applyFont="1" applyFill="1" applyBorder="1"/>
    <xf numFmtId="0" fontId="51" fillId="4" borderId="2" xfId="0" applyFont="1" applyFill="1" applyBorder="1"/>
    <xf numFmtId="164" fontId="51" fillId="4" borderId="2" xfId="0" applyNumberFormat="1" applyFont="1" applyFill="1" applyBorder="1"/>
    <xf numFmtId="165" fontId="51" fillId="4" borderId="2" xfId="0" applyNumberFormat="1" applyFont="1" applyFill="1" applyBorder="1"/>
    <xf numFmtId="166" fontId="51" fillId="12" borderId="2" xfId="0" applyNumberFormat="1" applyFont="1" applyFill="1" applyBorder="1" applyAlignment="1">
      <alignment horizontal="center"/>
    </xf>
    <xf numFmtId="4" fontId="50" fillId="0" borderId="2" xfId="0" applyNumberFormat="1" applyFont="1" applyFill="1" applyBorder="1"/>
    <xf numFmtId="2" fontId="51" fillId="0" borderId="2" xfId="0" applyNumberFormat="1" applyFont="1" applyFill="1" applyBorder="1"/>
    <xf numFmtId="166" fontId="50" fillId="0" borderId="2" xfId="1" applyNumberFormat="1" applyFont="1" applyFill="1" applyBorder="1" applyAlignment="1">
      <alignment horizontal="right"/>
    </xf>
    <xf numFmtId="170" fontId="50" fillId="0" borderId="2" xfId="1" applyNumberFormat="1" applyFont="1" applyFill="1" applyBorder="1" applyAlignment="1">
      <alignment horizontal="center"/>
    </xf>
    <xf numFmtId="0" fontId="51" fillId="5" borderId="2" xfId="0" applyFont="1" applyFill="1" applyBorder="1"/>
    <xf numFmtId="0" fontId="50" fillId="5" borderId="2" xfId="0" applyFont="1" applyFill="1" applyBorder="1"/>
    <xf numFmtId="165" fontId="51" fillId="4" borderId="0" xfId="1" applyNumberFormat="1" applyFont="1" applyFill="1" applyBorder="1" applyAlignment="1">
      <alignment horizontal="center"/>
    </xf>
    <xf numFmtId="165" fontId="51" fillId="6" borderId="2" xfId="1" applyNumberFormat="1" applyFont="1" applyFill="1" applyBorder="1" applyAlignment="1">
      <alignment horizontal="center"/>
    </xf>
    <xf numFmtId="165" fontId="50" fillId="6" borderId="2" xfId="1" applyNumberFormat="1" applyFont="1" applyFill="1" applyBorder="1" applyAlignment="1">
      <alignment horizontal="center"/>
    </xf>
    <xf numFmtId="0" fontId="50" fillId="6" borderId="2" xfId="0" applyFont="1" applyFill="1" applyBorder="1"/>
    <xf numFmtId="166" fontId="50" fillId="6" borderId="2" xfId="0" applyNumberFormat="1" applyFont="1" applyFill="1" applyBorder="1"/>
    <xf numFmtId="166" fontId="51" fillId="0" borderId="2" xfId="0" applyNumberFormat="1" applyFont="1" applyBorder="1"/>
    <xf numFmtId="0" fontId="51" fillId="6" borderId="2" xfId="0" applyFont="1" applyFill="1" applyBorder="1" applyAlignment="1">
      <alignment horizontal="center"/>
    </xf>
    <xf numFmtId="0" fontId="51" fillId="6" borderId="2" xfId="0" applyFont="1" applyFill="1" applyBorder="1"/>
    <xf numFmtId="165" fontId="51" fillId="6" borderId="1" xfId="0" applyNumberFormat="1" applyFont="1" applyFill="1" applyBorder="1" applyAlignment="1">
      <alignment horizontal="center"/>
    </xf>
    <xf numFmtId="0" fontId="51" fillId="6" borderId="1" xfId="0" applyFont="1" applyFill="1" applyBorder="1"/>
    <xf numFmtId="165" fontId="50" fillId="6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/>
    <xf numFmtId="2" fontId="7" fillId="0" borderId="2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2" fontId="8" fillId="5" borderId="2" xfId="0" applyNumberFormat="1" applyFont="1" applyFill="1" applyBorder="1" applyAlignment="1">
      <alignment horizontal="left"/>
    </xf>
    <xf numFmtId="2" fontId="8" fillId="11" borderId="2" xfId="0" applyNumberFormat="1" applyFont="1" applyFill="1" applyBorder="1" applyAlignment="1">
      <alignment horizontal="left"/>
    </xf>
    <xf numFmtId="2" fontId="8" fillId="11" borderId="11" xfId="0" applyNumberFormat="1" applyFont="1" applyFill="1" applyBorder="1" applyAlignment="1">
      <alignment horizontal="left"/>
    </xf>
    <xf numFmtId="0" fontId="9" fillId="11" borderId="2" xfId="0" applyFont="1" applyFill="1" applyBorder="1" applyAlignment="1">
      <alignment horizontal="left"/>
    </xf>
    <xf numFmtId="3" fontId="50" fillId="0" borderId="1" xfId="1" applyNumberFormat="1" applyFont="1" applyBorder="1" applyAlignment="1">
      <alignment horizontal="right"/>
    </xf>
    <xf numFmtId="3" fontId="50" fillId="0" borderId="10" xfId="1" applyNumberFormat="1" applyFont="1" applyBorder="1" applyAlignment="1">
      <alignment horizontal="right"/>
    </xf>
    <xf numFmtId="3" fontId="50" fillId="0" borderId="2" xfId="1" applyNumberFormat="1" applyFont="1" applyBorder="1" applyAlignment="1">
      <alignment horizontal="right"/>
    </xf>
    <xf numFmtId="3" fontId="50" fillId="4" borderId="2" xfId="1" applyNumberFormat="1" applyFont="1" applyFill="1" applyBorder="1" applyAlignment="1">
      <alignment horizontal="right"/>
    </xf>
    <xf numFmtId="168" fontId="51" fillId="4" borderId="2" xfId="0" applyNumberFormat="1" applyFont="1" applyFill="1" applyBorder="1" applyAlignment="1">
      <alignment horizontal="right"/>
    </xf>
    <xf numFmtId="166" fontId="52" fillId="4" borderId="2" xfId="0" applyNumberFormat="1" applyFont="1" applyFill="1" applyBorder="1" applyAlignment="1">
      <alignment horizontal="right"/>
    </xf>
    <xf numFmtId="0" fontId="51" fillId="4" borderId="2" xfId="0" applyFont="1" applyFill="1" applyBorder="1" applyAlignment="1">
      <alignment horizontal="right"/>
    </xf>
    <xf numFmtId="166" fontId="51" fillId="4" borderId="11" xfId="0" applyNumberFormat="1" applyFont="1" applyFill="1" applyBorder="1" applyAlignment="1">
      <alignment horizontal="right"/>
    </xf>
    <xf numFmtId="167" fontId="51" fillId="4" borderId="11" xfId="0" applyNumberFormat="1" applyFont="1" applyFill="1" applyBorder="1" applyAlignment="1">
      <alignment horizontal="right"/>
    </xf>
    <xf numFmtId="166" fontId="51" fillId="4" borderId="11" xfId="1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54" fillId="0" borderId="2" xfId="0" applyFont="1" applyFill="1" applyBorder="1" applyAlignment="1">
      <alignment horizontal="right"/>
    </xf>
    <xf numFmtId="0" fontId="53" fillId="0" borderId="2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165" fontId="65" fillId="5" borderId="2" xfId="1" applyNumberFormat="1" applyFont="1" applyFill="1" applyBorder="1" applyAlignment="1">
      <alignment horizontal="right"/>
    </xf>
    <xf numFmtId="166" fontId="65" fillId="5" borderId="2" xfId="1" applyNumberFormat="1" applyFont="1" applyFill="1" applyBorder="1" applyAlignment="1">
      <alignment horizontal="right"/>
    </xf>
    <xf numFmtId="165" fontId="65" fillId="5" borderId="2" xfId="0" applyNumberFormat="1" applyFont="1" applyFill="1" applyBorder="1" applyAlignment="1">
      <alignment horizontal="right"/>
    </xf>
    <xf numFmtId="165" fontId="66" fillId="6" borderId="2" xfId="1" applyNumberFormat="1" applyFont="1" applyFill="1" applyBorder="1" applyAlignment="1">
      <alignment horizontal="right"/>
    </xf>
    <xf numFmtId="165" fontId="66" fillId="6" borderId="2" xfId="0" applyNumberFormat="1" applyFont="1" applyFill="1" applyBorder="1" applyAlignment="1">
      <alignment horizontal="right"/>
    </xf>
    <xf numFmtId="166" fontId="66" fillId="6" borderId="2" xfId="1" applyNumberFormat="1" applyFont="1" applyFill="1" applyBorder="1" applyAlignment="1">
      <alignment horizontal="right"/>
    </xf>
    <xf numFmtId="165" fontId="66" fillId="17" borderId="2" xfId="1" applyNumberFormat="1" applyFont="1" applyFill="1" applyBorder="1" applyAlignment="1">
      <alignment horizontal="right"/>
    </xf>
    <xf numFmtId="165" fontId="66" fillId="17" borderId="11" xfId="1" applyNumberFormat="1" applyFont="1" applyFill="1" applyBorder="1" applyAlignment="1">
      <alignment horizontal="right"/>
    </xf>
    <xf numFmtId="165" fontId="66" fillId="17" borderId="2" xfId="0" applyNumberFormat="1" applyFont="1" applyFill="1" applyBorder="1" applyAlignment="1">
      <alignment horizontal="right"/>
    </xf>
    <xf numFmtId="165" fontId="67" fillId="17" borderId="2" xfId="0" applyNumberFormat="1" applyFont="1" applyFill="1" applyBorder="1" applyAlignment="1">
      <alignment horizontal="right"/>
    </xf>
    <xf numFmtId="165" fontId="66" fillId="17" borderId="11" xfId="0" applyNumberFormat="1" applyFont="1" applyFill="1" applyBorder="1" applyAlignment="1">
      <alignment horizontal="right"/>
    </xf>
    <xf numFmtId="168" fontId="66" fillId="17" borderId="2" xfId="0" applyNumberFormat="1" applyFont="1" applyFill="1" applyBorder="1" applyAlignment="1">
      <alignment horizontal="right"/>
    </xf>
    <xf numFmtId="166" fontId="66" fillId="17" borderId="2" xfId="0" applyNumberFormat="1" applyFont="1" applyFill="1" applyBorder="1" applyAlignment="1">
      <alignment horizontal="right"/>
    </xf>
    <xf numFmtId="165" fontId="66" fillId="0" borderId="2" xfId="1" applyNumberFormat="1" applyFont="1" applyFill="1" applyBorder="1" applyAlignment="1">
      <alignment horizontal="right"/>
    </xf>
    <xf numFmtId="165" fontId="66" fillId="0" borderId="11" xfId="1" applyNumberFormat="1" applyFont="1" applyBorder="1" applyAlignment="1">
      <alignment horizontal="right"/>
    </xf>
    <xf numFmtId="165" fontId="66" fillId="0" borderId="2" xfId="0" applyNumberFormat="1" applyFont="1" applyFill="1" applyBorder="1" applyAlignment="1">
      <alignment horizontal="right"/>
    </xf>
    <xf numFmtId="165" fontId="66" fillId="0" borderId="2" xfId="0" applyNumberFormat="1" applyFont="1" applyBorder="1" applyAlignment="1">
      <alignment horizontal="right"/>
    </xf>
    <xf numFmtId="165" fontId="67" fillId="0" borderId="2" xfId="0" applyNumberFormat="1" applyFont="1" applyFill="1" applyBorder="1" applyAlignment="1">
      <alignment horizontal="right"/>
    </xf>
    <xf numFmtId="165" fontId="66" fillId="4" borderId="2" xfId="0" applyNumberFormat="1" applyFont="1" applyFill="1" applyBorder="1" applyAlignment="1">
      <alignment horizontal="right"/>
    </xf>
    <xf numFmtId="165" fontId="66" fillId="4" borderId="11" xfId="0" applyNumberFormat="1" applyFont="1" applyFill="1" applyBorder="1" applyAlignment="1">
      <alignment horizontal="right"/>
    </xf>
    <xf numFmtId="168" fontId="66" fillId="4" borderId="2" xfId="0" applyNumberFormat="1" applyFont="1" applyFill="1" applyBorder="1" applyAlignment="1">
      <alignment horizontal="right"/>
    </xf>
    <xf numFmtId="166" fontId="66" fillId="4" borderId="2" xfId="0" applyNumberFormat="1" applyFont="1" applyFill="1" applyBorder="1" applyAlignment="1">
      <alignment horizontal="right"/>
    </xf>
    <xf numFmtId="166" fontId="67" fillId="17" borderId="2" xfId="0" applyNumberFormat="1" applyFont="1" applyFill="1" applyBorder="1" applyAlignment="1">
      <alignment horizontal="right"/>
    </xf>
    <xf numFmtId="165" fontId="66" fillId="4" borderId="2" xfId="1" applyNumberFormat="1" applyFont="1" applyFill="1" applyBorder="1" applyAlignment="1">
      <alignment horizontal="right"/>
    </xf>
    <xf numFmtId="165" fontId="66" fillId="4" borderId="11" xfId="1" applyNumberFormat="1" applyFont="1" applyFill="1" applyBorder="1" applyAlignment="1">
      <alignment horizontal="right"/>
    </xf>
    <xf numFmtId="166" fontId="67" fillId="4" borderId="2" xfId="0" applyNumberFormat="1" applyFont="1" applyFill="1" applyBorder="1" applyAlignment="1">
      <alignment horizontal="right"/>
    </xf>
    <xf numFmtId="0" fontId="66" fillId="17" borderId="2" xfId="0" applyFont="1" applyFill="1" applyBorder="1" applyAlignment="1">
      <alignment horizontal="right"/>
    </xf>
    <xf numFmtId="166" fontId="66" fillId="17" borderId="11" xfId="0" applyNumberFormat="1" applyFont="1" applyFill="1" applyBorder="1" applyAlignment="1">
      <alignment horizontal="right"/>
    </xf>
    <xf numFmtId="0" fontId="66" fillId="0" borderId="2" xfId="0" applyFont="1" applyFill="1" applyBorder="1" applyAlignment="1">
      <alignment horizontal="right"/>
    </xf>
    <xf numFmtId="166" fontId="66" fillId="0" borderId="11" xfId="0" applyNumberFormat="1" applyFont="1" applyFill="1" applyBorder="1" applyAlignment="1">
      <alignment horizontal="right"/>
    </xf>
    <xf numFmtId="0" fontId="66" fillId="0" borderId="11" xfId="0" applyFont="1" applyFill="1" applyBorder="1" applyAlignment="1">
      <alignment horizontal="right"/>
    </xf>
    <xf numFmtId="0" fontId="68" fillId="0" borderId="0" xfId="0" applyFont="1" applyFill="1"/>
    <xf numFmtId="0" fontId="69" fillId="0" borderId="2" xfId="0" applyFont="1" applyFill="1" applyBorder="1" applyAlignment="1">
      <alignment horizontal="right"/>
    </xf>
    <xf numFmtId="165" fontId="69" fillId="0" borderId="2" xfId="0" applyNumberFormat="1" applyFont="1" applyFill="1" applyBorder="1" applyAlignment="1">
      <alignment horizontal="right"/>
    </xf>
    <xf numFmtId="173" fontId="67" fillId="0" borderId="2" xfId="0" applyNumberFormat="1" applyFont="1" applyFill="1" applyBorder="1" applyAlignment="1">
      <alignment horizontal="right"/>
    </xf>
    <xf numFmtId="0" fontId="66" fillId="4" borderId="2" xfId="0" applyFont="1" applyFill="1" applyBorder="1" applyAlignment="1">
      <alignment horizontal="right"/>
    </xf>
    <xf numFmtId="166" fontId="66" fillId="4" borderId="11" xfId="0" applyNumberFormat="1" applyFont="1" applyFill="1" applyBorder="1" applyAlignment="1">
      <alignment horizontal="right"/>
    </xf>
    <xf numFmtId="0" fontId="69" fillId="0" borderId="2" xfId="0" applyFont="1" applyBorder="1" applyAlignment="1">
      <alignment horizontal="right"/>
    </xf>
    <xf numFmtId="165" fontId="66" fillId="0" borderId="2" xfId="1" applyNumberFormat="1" applyFont="1" applyBorder="1" applyAlignment="1">
      <alignment horizontal="right"/>
    </xf>
    <xf numFmtId="165" fontId="67" fillId="4" borderId="2" xfId="0" applyNumberFormat="1" applyFont="1" applyFill="1" applyBorder="1" applyAlignment="1">
      <alignment horizontal="right"/>
    </xf>
    <xf numFmtId="166" fontId="65" fillId="5" borderId="11" xfId="1" applyNumberFormat="1" applyFont="1" applyFill="1" applyBorder="1" applyAlignment="1">
      <alignment horizontal="right"/>
    </xf>
    <xf numFmtId="166" fontId="67" fillId="5" borderId="2" xfId="0" applyNumberFormat="1" applyFont="1" applyFill="1" applyBorder="1" applyAlignment="1">
      <alignment horizontal="right"/>
    </xf>
    <xf numFmtId="166" fontId="70" fillId="5" borderId="2" xfId="1" applyNumberFormat="1" applyFont="1" applyFill="1" applyBorder="1" applyAlignment="1">
      <alignment horizontal="right"/>
    </xf>
    <xf numFmtId="165" fontId="70" fillId="6" borderId="2" xfId="1" applyNumberFormat="1" applyFont="1" applyFill="1" applyBorder="1" applyAlignment="1">
      <alignment horizontal="right"/>
    </xf>
    <xf numFmtId="166" fontId="70" fillId="6" borderId="2" xfId="1" applyNumberFormat="1" applyFont="1" applyFill="1" applyBorder="1" applyAlignment="1">
      <alignment horizontal="right"/>
    </xf>
    <xf numFmtId="166" fontId="70" fillId="6" borderId="11" xfId="1" applyNumberFormat="1" applyFont="1" applyFill="1" applyBorder="1" applyAlignment="1">
      <alignment horizontal="right"/>
    </xf>
    <xf numFmtId="0" fontId="70" fillId="6" borderId="2" xfId="0" applyFont="1" applyFill="1" applyBorder="1" applyAlignment="1">
      <alignment horizontal="right"/>
    </xf>
    <xf numFmtId="165" fontId="70" fillId="6" borderId="2" xfId="0" applyNumberFormat="1" applyFont="1" applyFill="1" applyBorder="1" applyAlignment="1">
      <alignment horizontal="right"/>
    </xf>
    <xf numFmtId="168" fontId="70" fillId="6" borderId="2" xfId="0" applyNumberFormat="1" applyFont="1" applyFill="1" applyBorder="1" applyAlignment="1">
      <alignment horizontal="right"/>
    </xf>
    <xf numFmtId="165" fontId="65" fillId="0" borderId="2" xfId="1" applyNumberFormat="1" applyFont="1" applyFill="1" applyBorder="1" applyAlignment="1">
      <alignment horizontal="right"/>
    </xf>
    <xf numFmtId="165" fontId="65" fillId="0" borderId="11" xfId="1" applyNumberFormat="1" applyFont="1" applyFill="1" applyBorder="1" applyAlignment="1">
      <alignment horizontal="right"/>
    </xf>
    <xf numFmtId="166" fontId="65" fillId="0" borderId="2" xfId="1" applyNumberFormat="1" applyFont="1" applyFill="1" applyBorder="1" applyAlignment="1">
      <alignment horizontal="right"/>
    </xf>
    <xf numFmtId="166" fontId="65" fillId="0" borderId="11" xfId="1" applyNumberFormat="1" applyFont="1" applyFill="1" applyBorder="1" applyAlignment="1">
      <alignment horizontal="right"/>
    </xf>
    <xf numFmtId="0" fontId="67" fillId="0" borderId="2" xfId="0" applyFont="1" applyFill="1" applyBorder="1" applyAlignment="1">
      <alignment horizontal="right"/>
    </xf>
    <xf numFmtId="165" fontId="66" fillId="0" borderId="11" xfId="1" applyNumberFormat="1" applyFont="1" applyFill="1" applyBorder="1" applyAlignment="1">
      <alignment horizontal="right"/>
    </xf>
    <xf numFmtId="166" fontId="66" fillId="0" borderId="2" xfId="1" applyNumberFormat="1" applyFont="1" applyFill="1" applyBorder="1" applyAlignment="1">
      <alignment horizontal="right"/>
    </xf>
    <xf numFmtId="165" fontId="66" fillId="0" borderId="11" xfId="0" applyNumberFormat="1" applyFont="1" applyFill="1" applyBorder="1" applyAlignment="1">
      <alignment horizontal="right"/>
    </xf>
    <xf numFmtId="166" fontId="66" fillId="0" borderId="11" xfId="1" applyNumberFormat="1" applyFont="1" applyFill="1" applyBorder="1" applyAlignment="1">
      <alignment horizontal="right"/>
    </xf>
    <xf numFmtId="165" fontId="65" fillId="13" borderId="2" xfId="1" applyNumberFormat="1" applyFont="1" applyFill="1" applyBorder="1" applyAlignment="1">
      <alignment horizontal="right"/>
    </xf>
    <xf numFmtId="165" fontId="65" fillId="13" borderId="11" xfId="1" applyNumberFormat="1" applyFont="1" applyFill="1" applyBorder="1" applyAlignment="1">
      <alignment horizontal="right"/>
    </xf>
    <xf numFmtId="166" fontId="65" fillId="13" borderId="2" xfId="1" applyNumberFormat="1" applyFont="1" applyFill="1" applyBorder="1" applyAlignment="1">
      <alignment horizontal="right"/>
    </xf>
    <xf numFmtId="166" fontId="65" fillId="13" borderId="11" xfId="1" applyNumberFormat="1" applyFont="1" applyFill="1" applyBorder="1" applyAlignment="1">
      <alignment horizontal="right"/>
    </xf>
    <xf numFmtId="0" fontId="70" fillId="13" borderId="2" xfId="0" applyFont="1" applyFill="1" applyBorder="1" applyAlignment="1">
      <alignment horizontal="right"/>
    </xf>
    <xf numFmtId="165" fontId="70" fillId="13" borderId="2" xfId="0" applyNumberFormat="1" applyFont="1" applyFill="1" applyBorder="1" applyAlignment="1">
      <alignment horizontal="right"/>
    </xf>
    <xf numFmtId="166" fontId="66" fillId="4" borderId="2" xfId="1" applyNumberFormat="1" applyFont="1" applyFill="1" applyBorder="1" applyAlignment="1">
      <alignment horizontal="right"/>
    </xf>
    <xf numFmtId="166" fontId="66" fillId="0" borderId="2" xfId="0" applyNumberFormat="1" applyFont="1" applyFill="1" applyBorder="1" applyAlignment="1">
      <alignment horizontal="right"/>
    </xf>
    <xf numFmtId="165" fontId="66" fillId="0" borderId="11" xfId="0" applyNumberFormat="1" applyFont="1" applyBorder="1" applyAlignment="1">
      <alignment horizontal="right"/>
    </xf>
    <xf numFmtId="166" fontId="66" fillId="4" borderId="11" xfId="1" applyNumberFormat="1" applyFont="1" applyFill="1" applyBorder="1" applyAlignment="1">
      <alignment horizontal="right"/>
    </xf>
    <xf numFmtId="0" fontId="67" fillId="0" borderId="11" xfId="0" applyFont="1" applyFill="1" applyBorder="1" applyAlignment="1">
      <alignment horizontal="right"/>
    </xf>
    <xf numFmtId="165" fontId="66" fillId="13" borderId="2" xfId="1" applyNumberFormat="1" applyFont="1" applyFill="1" applyBorder="1" applyAlignment="1">
      <alignment horizontal="right"/>
    </xf>
    <xf numFmtId="165" fontId="66" fillId="13" borderId="11" xfId="1" applyNumberFormat="1" applyFont="1" applyFill="1" applyBorder="1" applyAlignment="1">
      <alignment horizontal="right"/>
    </xf>
    <xf numFmtId="166" fontId="66" fillId="13" borderId="2" xfId="1" applyNumberFormat="1" applyFont="1" applyFill="1" applyBorder="1" applyAlignment="1">
      <alignment horizontal="right"/>
    </xf>
    <xf numFmtId="166" fontId="66" fillId="13" borderId="11" xfId="1" applyNumberFormat="1" applyFont="1" applyFill="1" applyBorder="1" applyAlignment="1">
      <alignment horizontal="right"/>
    </xf>
    <xf numFmtId="166" fontId="67" fillId="13" borderId="2" xfId="0" applyNumberFormat="1" applyFont="1" applyFill="1" applyBorder="1" applyAlignment="1">
      <alignment horizontal="right"/>
    </xf>
    <xf numFmtId="3" fontId="66" fillId="13" borderId="2" xfId="1" applyNumberFormat="1" applyFont="1" applyFill="1" applyBorder="1" applyAlignment="1">
      <alignment horizontal="right"/>
    </xf>
    <xf numFmtId="165" fontId="66" fillId="17" borderId="1" xfId="1" applyNumberFormat="1" applyFont="1" applyFill="1" applyBorder="1" applyAlignment="1">
      <alignment horizontal="right"/>
    </xf>
    <xf numFmtId="165" fontId="66" fillId="17" borderId="10" xfId="1" applyNumberFormat="1" applyFont="1" applyFill="1" applyBorder="1" applyAlignment="1">
      <alignment horizontal="right"/>
    </xf>
    <xf numFmtId="165" fontId="66" fillId="17" borderId="10" xfId="0" applyNumberFormat="1" applyFont="1" applyFill="1" applyBorder="1" applyAlignment="1">
      <alignment horizontal="right"/>
    </xf>
    <xf numFmtId="165" fontId="69" fillId="17" borderId="1" xfId="0" applyNumberFormat="1" applyFont="1" applyFill="1" applyBorder="1" applyAlignment="1">
      <alignment horizontal="right"/>
    </xf>
    <xf numFmtId="165" fontId="66" fillId="17" borderId="1" xfId="0" applyNumberFormat="1" applyFont="1" applyFill="1" applyBorder="1" applyAlignment="1">
      <alignment horizontal="right"/>
    </xf>
    <xf numFmtId="166" fontId="66" fillId="17" borderId="1" xfId="1" applyNumberFormat="1" applyFont="1" applyFill="1" applyBorder="1" applyAlignment="1">
      <alignment horizontal="right"/>
    </xf>
    <xf numFmtId="0" fontId="66" fillId="17" borderId="1" xfId="0" applyFont="1" applyFill="1" applyBorder="1" applyAlignment="1">
      <alignment horizontal="right"/>
    </xf>
    <xf numFmtId="166" fontId="66" fillId="17" borderId="10" xfId="0" applyNumberFormat="1" applyFont="1" applyFill="1" applyBorder="1" applyAlignment="1">
      <alignment horizontal="right"/>
    </xf>
    <xf numFmtId="165" fontId="67" fillId="17" borderId="1" xfId="0" applyNumberFormat="1" applyFont="1" applyFill="1" applyBorder="1" applyAlignment="1">
      <alignment horizontal="right"/>
    </xf>
    <xf numFmtId="0" fontId="69" fillId="17" borderId="1" xfId="0" applyFont="1" applyFill="1" applyBorder="1" applyAlignment="1">
      <alignment horizontal="right"/>
    </xf>
    <xf numFmtId="165" fontId="66" fillId="0" borderId="1" xfId="1" applyNumberFormat="1" applyFont="1" applyFill="1" applyBorder="1" applyAlignment="1">
      <alignment horizontal="right"/>
    </xf>
    <xf numFmtId="165" fontId="66" fillId="0" borderId="10" xfId="1" applyNumberFormat="1" applyFont="1" applyFill="1" applyBorder="1" applyAlignment="1">
      <alignment horizontal="right"/>
    </xf>
    <xf numFmtId="165" fontId="66" fillId="0" borderId="10" xfId="0" applyNumberFormat="1" applyFont="1" applyFill="1" applyBorder="1" applyAlignment="1">
      <alignment horizontal="right"/>
    </xf>
    <xf numFmtId="165" fontId="69" fillId="0" borderId="1" xfId="0" applyNumberFormat="1" applyFont="1" applyFill="1" applyBorder="1" applyAlignment="1">
      <alignment horizontal="right"/>
    </xf>
    <xf numFmtId="165" fontId="66" fillId="0" borderId="1" xfId="0" applyNumberFormat="1" applyFont="1" applyFill="1" applyBorder="1" applyAlignment="1">
      <alignment horizontal="right"/>
    </xf>
    <xf numFmtId="166" fontId="66" fillId="0" borderId="1" xfId="1" applyNumberFormat="1" applyFont="1" applyFill="1" applyBorder="1" applyAlignment="1">
      <alignment horizontal="right"/>
    </xf>
    <xf numFmtId="0" fontId="66" fillId="0" borderId="1" xfId="0" applyFont="1" applyFill="1" applyBorder="1" applyAlignment="1">
      <alignment horizontal="right"/>
    </xf>
    <xf numFmtId="166" fontId="66" fillId="0" borderId="10" xfId="0" applyNumberFormat="1" applyFont="1" applyFill="1" applyBorder="1" applyAlignment="1">
      <alignment horizontal="right"/>
    </xf>
    <xf numFmtId="165" fontId="67" fillId="0" borderId="1" xfId="0" applyNumberFormat="1" applyFont="1" applyFill="1" applyBorder="1" applyAlignment="1">
      <alignment horizontal="right"/>
    </xf>
    <xf numFmtId="0" fontId="69" fillId="0" borderId="1" xfId="0" applyFont="1" applyFill="1" applyBorder="1" applyAlignment="1">
      <alignment horizontal="right"/>
    </xf>
    <xf numFmtId="171" fontId="69" fillId="0" borderId="2" xfId="0" applyNumberFormat="1" applyFont="1" applyFill="1" applyBorder="1" applyAlignment="1">
      <alignment horizontal="right"/>
    </xf>
    <xf numFmtId="2" fontId="66" fillId="0" borderId="2" xfId="0" applyNumberFormat="1" applyFont="1" applyFill="1" applyBorder="1" applyAlignment="1">
      <alignment horizontal="right"/>
    </xf>
    <xf numFmtId="171" fontId="67" fillId="0" borderId="2" xfId="0" applyNumberFormat="1" applyFont="1" applyFill="1" applyBorder="1" applyAlignment="1">
      <alignment horizontal="right"/>
    </xf>
    <xf numFmtId="165" fontId="65" fillId="6" borderId="7" xfId="1" applyNumberFormat="1" applyFont="1" applyFill="1" applyBorder="1" applyAlignment="1">
      <alignment horizontal="right"/>
    </xf>
    <xf numFmtId="165" fontId="70" fillId="6" borderId="7" xfId="0" applyNumberFormat="1" applyFont="1" applyFill="1" applyBorder="1" applyAlignment="1">
      <alignment horizontal="right"/>
    </xf>
    <xf numFmtId="166" fontId="65" fillId="6" borderId="7" xfId="1" applyNumberFormat="1" applyFont="1" applyFill="1" applyBorder="1" applyAlignment="1">
      <alignment horizontal="right"/>
    </xf>
    <xf numFmtId="166" fontId="70" fillId="6" borderId="7" xfId="0" applyNumberFormat="1" applyFont="1" applyFill="1" applyBorder="1" applyAlignment="1">
      <alignment horizontal="right"/>
    </xf>
    <xf numFmtId="165" fontId="66" fillId="8" borderId="2" xfId="1" applyNumberFormat="1" applyFont="1" applyFill="1" applyBorder="1" applyAlignment="1">
      <alignment horizontal="right"/>
    </xf>
    <xf numFmtId="166" fontId="66" fillId="8" borderId="2" xfId="1" applyNumberFormat="1" applyFont="1" applyFill="1" applyBorder="1" applyAlignment="1">
      <alignment horizontal="right"/>
    </xf>
    <xf numFmtId="166" fontId="65" fillId="6" borderId="2" xfId="1" applyNumberFormat="1" applyFont="1" applyFill="1" applyBorder="1" applyAlignment="1">
      <alignment horizontal="right"/>
    </xf>
    <xf numFmtId="165" fontId="71" fillId="0" borderId="2" xfId="0" applyNumberFormat="1" applyFont="1" applyBorder="1" applyAlignment="1">
      <alignment horizontal="right"/>
    </xf>
    <xf numFmtId="165" fontId="65" fillId="6" borderId="2" xfId="1" applyNumberFormat="1" applyFont="1" applyFill="1" applyBorder="1" applyAlignment="1">
      <alignment horizontal="right"/>
    </xf>
    <xf numFmtId="166" fontId="65" fillId="6" borderId="11" xfId="1" applyNumberFormat="1" applyFont="1" applyFill="1" applyBorder="1" applyAlignment="1">
      <alignment horizontal="right"/>
    </xf>
    <xf numFmtId="165" fontId="66" fillId="4" borderId="7" xfId="1" applyNumberFormat="1" applyFont="1" applyFill="1" applyBorder="1" applyAlignment="1">
      <alignment horizontal="right"/>
    </xf>
    <xf numFmtId="165" fontId="66" fillId="4" borderId="12" xfId="1" applyNumberFormat="1" applyFont="1" applyFill="1" applyBorder="1" applyAlignment="1">
      <alignment horizontal="right"/>
    </xf>
    <xf numFmtId="165" fontId="68" fillId="0" borderId="2" xfId="0" applyNumberFormat="1" applyFont="1" applyFill="1" applyBorder="1" applyAlignment="1">
      <alignment horizontal="right"/>
    </xf>
    <xf numFmtId="165" fontId="66" fillId="0" borderId="7" xfId="1" applyNumberFormat="1" applyFont="1" applyFill="1" applyBorder="1" applyAlignment="1">
      <alignment horizontal="right"/>
    </xf>
    <xf numFmtId="165" fontId="67" fillId="4" borderId="2" xfId="1" applyNumberFormat="1" applyFont="1" applyFill="1" applyBorder="1" applyAlignment="1">
      <alignment horizontal="right"/>
    </xf>
    <xf numFmtId="165" fontId="67" fillId="4" borderId="11" xfId="1" applyNumberFormat="1" applyFont="1" applyFill="1" applyBorder="1" applyAlignment="1">
      <alignment horizontal="right"/>
    </xf>
    <xf numFmtId="166" fontId="67" fillId="4" borderId="2" xfId="1" applyNumberFormat="1" applyFont="1" applyFill="1" applyBorder="1" applyAlignment="1">
      <alignment horizontal="right"/>
    </xf>
    <xf numFmtId="166" fontId="67" fillId="4" borderId="11" xfId="1" applyNumberFormat="1" applyFont="1" applyFill="1" applyBorder="1" applyAlignment="1">
      <alignment horizontal="right"/>
    </xf>
    <xf numFmtId="166" fontId="67" fillId="0" borderId="11" xfId="1" applyNumberFormat="1" applyFont="1" applyFill="1" applyBorder="1" applyAlignment="1">
      <alignment horizontal="right"/>
    </xf>
    <xf numFmtId="166" fontId="67" fillId="0" borderId="2" xfId="1" applyNumberFormat="1" applyFont="1" applyFill="1" applyBorder="1" applyAlignment="1">
      <alignment horizontal="right"/>
    </xf>
    <xf numFmtId="165" fontId="66" fillId="0" borderId="2" xfId="1" applyNumberFormat="1" applyFont="1" applyFill="1" applyBorder="1" applyAlignment="1">
      <alignment horizontal="right" wrapText="1"/>
    </xf>
    <xf numFmtId="165" fontId="66" fillId="0" borderId="11" xfId="1" applyNumberFormat="1" applyFont="1" applyFill="1" applyBorder="1" applyAlignment="1">
      <alignment horizontal="right" wrapText="1"/>
    </xf>
    <xf numFmtId="165" fontId="71" fillId="0" borderId="2" xfId="0" applyNumberFormat="1" applyFont="1" applyFill="1" applyBorder="1" applyAlignment="1">
      <alignment horizontal="right"/>
    </xf>
    <xf numFmtId="165" fontId="65" fillId="5" borderId="11" xfId="1" applyNumberFormat="1" applyFont="1" applyFill="1" applyBorder="1" applyAlignment="1">
      <alignment horizontal="right"/>
    </xf>
    <xf numFmtId="165" fontId="65" fillId="6" borderId="11" xfId="1" applyNumberFormat="1" applyFont="1" applyFill="1" applyBorder="1" applyAlignment="1">
      <alignment horizontal="right"/>
    </xf>
    <xf numFmtId="4" fontId="65" fillId="6" borderId="2" xfId="1" applyNumberFormat="1" applyFont="1" applyFill="1" applyBorder="1" applyAlignment="1">
      <alignment horizontal="right"/>
    </xf>
    <xf numFmtId="165" fontId="67" fillId="0" borderId="2" xfId="1" applyNumberFormat="1" applyFont="1" applyFill="1" applyBorder="1" applyAlignment="1">
      <alignment horizontal="right"/>
    </xf>
    <xf numFmtId="165" fontId="67" fillId="0" borderId="11" xfId="1" applyNumberFormat="1" applyFont="1" applyFill="1" applyBorder="1" applyAlignment="1">
      <alignment horizontal="right"/>
    </xf>
    <xf numFmtId="172" fontId="69" fillId="0" borderId="2" xfId="0" applyNumberFormat="1" applyFont="1" applyFill="1" applyBorder="1" applyAlignment="1">
      <alignment horizontal="right"/>
    </xf>
    <xf numFmtId="165" fontId="71" fillId="4" borderId="2" xfId="0" applyNumberFormat="1" applyFont="1" applyFill="1" applyBorder="1" applyAlignment="1">
      <alignment horizontal="right"/>
    </xf>
    <xf numFmtId="4" fontId="66" fillId="0" borderId="2" xfId="0" applyNumberFormat="1" applyFont="1" applyFill="1" applyBorder="1" applyAlignment="1">
      <alignment horizontal="right"/>
    </xf>
    <xf numFmtId="172" fontId="66" fillId="0" borderId="2" xfId="0" applyNumberFormat="1" applyFont="1" applyFill="1" applyBorder="1" applyAlignment="1">
      <alignment horizontal="right"/>
    </xf>
    <xf numFmtId="172" fontId="69" fillId="0" borderId="2" xfId="0" applyNumberFormat="1" applyFont="1" applyBorder="1" applyAlignment="1">
      <alignment horizontal="right"/>
    </xf>
    <xf numFmtId="172" fontId="66" fillId="4" borderId="2" xfId="0" applyNumberFormat="1" applyFont="1" applyFill="1" applyBorder="1" applyAlignment="1">
      <alignment horizontal="right"/>
    </xf>
    <xf numFmtId="165" fontId="71" fillId="0" borderId="11" xfId="0" applyNumberFormat="1" applyFont="1" applyFill="1" applyBorder="1" applyAlignment="1">
      <alignment horizontal="right"/>
    </xf>
    <xf numFmtId="172" fontId="69" fillId="0" borderId="11" xfId="0" applyNumberFormat="1" applyFont="1" applyBorder="1" applyAlignment="1">
      <alignment horizontal="right"/>
    </xf>
    <xf numFmtId="172" fontId="66" fillId="4" borderId="11" xfId="0" applyNumberFormat="1" applyFont="1" applyFill="1" applyBorder="1" applyAlignment="1">
      <alignment horizontal="right"/>
    </xf>
    <xf numFmtId="166" fontId="66" fillId="6" borderId="11" xfId="1" applyNumberFormat="1" applyFont="1" applyFill="1" applyBorder="1" applyAlignment="1">
      <alignment horizontal="right"/>
    </xf>
    <xf numFmtId="165" fontId="71" fillId="0" borderId="0" xfId="0" applyNumberFormat="1" applyFont="1" applyAlignment="1">
      <alignment horizontal="left"/>
    </xf>
    <xf numFmtId="165" fontId="68" fillId="0" borderId="0" xfId="0" applyNumberFormat="1" applyFont="1" applyAlignment="1">
      <alignment horizontal="left"/>
    </xf>
    <xf numFmtId="165" fontId="71" fillId="4" borderId="0" xfId="0" applyNumberFormat="1" applyFont="1" applyFill="1" applyAlignment="1">
      <alignment horizontal="left"/>
    </xf>
    <xf numFmtId="0" fontId="71" fillId="4" borderId="0" xfId="0" applyFont="1" applyFill="1" applyAlignment="1">
      <alignment horizontal="left"/>
    </xf>
    <xf numFmtId="167" fontId="71" fillId="4" borderId="0" xfId="0" applyNumberFormat="1" applyFont="1" applyFill="1" applyAlignment="1">
      <alignment horizontal="left"/>
    </xf>
    <xf numFmtId="0" fontId="68" fillId="0" borderId="0" xfId="0" applyFont="1" applyAlignment="1">
      <alignment horizontal="left"/>
    </xf>
    <xf numFmtId="165" fontId="66" fillId="6" borderId="2" xfId="0" applyNumberFormat="1" applyFont="1" applyFill="1" applyBorder="1" applyAlignment="1">
      <alignment horizontal="left"/>
    </xf>
    <xf numFmtId="165" fontId="69" fillId="6" borderId="2" xfId="0" applyNumberFormat="1" applyFont="1" applyFill="1" applyBorder="1" applyAlignment="1">
      <alignment horizontal="left"/>
    </xf>
    <xf numFmtId="0" fontId="66" fillId="6" borderId="2" xfId="0" applyFont="1" applyFill="1" applyBorder="1" applyAlignment="1">
      <alignment horizontal="left"/>
    </xf>
    <xf numFmtId="167" fontId="66" fillId="6" borderId="2" xfId="0" applyNumberFormat="1" applyFont="1" applyFill="1" applyBorder="1" applyAlignment="1">
      <alignment horizontal="left"/>
    </xf>
    <xf numFmtId="0" fontId="69" fillId="6" borderId="2" xfId="0" applyFont="1" applyFill="1" applyBorder="1" applyAlignment="1">
      <alignment horizontal="left"/>
    </xf>
    <xf numFmtId="165" fontId="67" fillId="6" borderId="2" xfId="0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0" borderId="11" xfId="1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horizontal="left" wrapText="1"/>
    </xf>
    <xf numFmtId="165" fontId="66" fillId="0" borderId="7" xfId="0" applyNumberFormat="1" applyFont="1" applyFill="1" applyBorder="1" applyAlignment="1">
      <alignment horizontal="right"/>
    </xf>
    <xf numFmtId="165" fontId="69" fillId="0" borderId="7" xfId="0" applyNumberFormat="1" applyFont="1" applyFill="1" applyBorder="1" applyAlignment="1">
      <alignment horizontal="right"/>
    </xf>
    <xf numFmtId="166" fontId="66" fillId="0" borderId="7" xfId="1" applyNumberFormat="1" applyFont="1" applyFill="1" applyBorder="1" applyAlignment="1">
      <alignment horizontal="right"/>
    </xf>
    <xf numFmtId="0" fontId="66" fillId="0" borderId="7" xfId="0" applyFont="1" applyFill="1" applyBorder="1" applyAlignment="1">
      <alignment horizontal="right"/>
    </xf>
    <xf numFmtId="166" fontId="66" fillId="0" borderId="7" xfId="0" applyNumberFormat="1" applyFont="1" applyFill="1" applyBorder="1" applyAlignment="1">
      <alignment horizontal="right"/>
    </xf>
    <xf numFmtId="173" fontId="67" fillId="0" borderId="7" xfId="0" applyNumberFormat="1" applyFont="1" applyFill="1" applyBorder="1" applyAlignment="1">
      <alignment horizontal="right"/>
    </xf>
    <xf numFmtId="171" fontId="69" fillId="0" borderId="7" xfId="0" applyNumberFormat="1" applyFont="1" applyFill="1" applyBorder="1" applyAlignment="1">
      <alignment horizontal="right"/>
    </xf>
    <xf numFmtId="2" fontId="66" fillId="0" borderId="7" xfId="0" applyNumberFormat="1" applyFont="1" applyFill="1" applyBorder="1" applyAlignment="1">
      <alignment horizontal="right"/>
    </xf>
    <xf numFmtId="171" fontId="67" fillId="0" borderId="7" xfId="0" applyNumberFormat="1" applyFont="1" applyFill="1" applyBorder="1" applyAlignment="1">
      <alignment horizontal="right"/>
    </xf>
    <xf numFmtId="0" fontId="14" fillId="0" borderId="0" xfId="0" applyFont="1" applyFill="1" applyBorder="1"/>
    <xf numFmtId="166" fontId="17" fillId="0" borderId="7" xfId="0" applyNumberFormat="1" applyFont="1" applyFill="1" applyBorder="1"/>
    <xf numFmtId="0" fontId="44" fillId="0" borderId="7" xfId="0" applyFont="1" applyFill="1" applyBorder="1"/>
    <xf numFmtId="165" fontId="17" fillId="0" borderId="7" xfId="0" applyNumberFormat="1" applyFont="1" applyFill="1" applyBorder="1"/>
    <xf numFmtId="0" fontId="17" fillId="0" borderId="12" xfId="0" applyFont="1" applyFill="1" applyBorder="1"/>
    <xf numFmtId="4" fontId="17" fillId="0" borderId="7" xfId="0" applyNumberFormat="1" applyFont="1" applyFill="1" applyBorder="1"/>
    <xf numFmtId="49" fontId="11" fillId="18" borderId="2" xfId="0" applyNumberFormat="1" applyFont="1" applyFill="1" applyBorder="1" applyAlignment="1">
      <alignment horizontal="center"/>
    </xf>
    <xf numFmtId="49" fontId="11" fillId="18" borderId="4" xfId="1" applyNumberFormat="1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15" fillId="0" borderId="0" xfId="0" applyFont="1" applyBorder="1"/>
    <xf numFmtId="171" fontId="15" fillId="0" borderId="0" xfId="0" applyNumberFormat="1" applyFont="1" applyBorder="1"/>
    <xf numFmtId="170" fontId="15" fillId="0" borderId="0" xfId="0" applyNumberFormat="1" applyFont="1" applyBorder="1"/>
    <xf numFmtId="4" fontId="24" fillId="0" borderId="0" xfId="0" applyNumberFormat="1" applyFont="1"/>
    <xf numFmtId="0" fontId="72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vertical="center"/>
    </xf>
    <xf numFmtId="0" fontId="73" fillId="0" borderId="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0" xfId="0" applyFont="1" applyAlignment="1">
      <alignment horizontal="right"/>
    </xf>
    <xf numFmtId="0" fontId="72" fillId="0" borderId="2" xfId="0" applyFont="1" applyBorder="1" applyAlignment="1">
      <alignment horizontal="right"/>
    </xf>
    <xf numFmtId="0" fontId="72" fillId="0" borderId="13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4" fontId="72" fillId="0" borderId="2" xfId="0" applyNumberFormat="1" applyFont="1" applyBorder="1" applyAlignment="1">
      <alignment vertical="center"/>
    </xf>
    <xf numFmtId="164" fontId="24" fillId="0" borderId="2" xfId="0" applyNumberFormat="1" applyFont="1" applyBorder="1"/>
    <xf numFmtId="166" fontId="16" fillId="5" borderId="2" xfId="1" applyNumberFormat="1" applyFont="1" applyFill="1" applyBorder="1" applyAlignment="1">
      <alignment horizontal="right"/>
    </xf>
    <xf numFmtId="166" fontId="22" fillId="5" borderId="2" xfId="0" applyNumberFormat="1" applyFont="1" applyFill="1" applyBorder="1"/>
    <xf numFmtId="49" fontId="11" fillId="4" borderId="7" xfId="0" applyNumberFormat="1" applyFont="1" applyFill="1" applyBorder="1" applyAlignment="1">
      <alignment horizontal="center"/>
    </xf>
    <xf numFmtId="166" fontId="16" fillId="5" borderId="11" xfId="1" applyNumberFormat="1" applyFont="1" applyFill="1" applyBorder="1" applyAlignment="1">
      <alignment horizontal="right"/>
    </xf>
    <xf numFmtId="166" fontId="17" fillId="0" borderId="12" xfId="0" applyNumberFormat="1" applyFont="1" applyFill="1" applyBorder="1"/>
    <xf numFmtId="166" fontId="22" fillId="6" borderId="11" xfId="0" applyNumberFormat="1" applyFont="1" applyFill="1" applyBorder="1"/>
    <xf numFmtId="166" fontId="1" fillId="6" borderId="11" xfId="0" applyNumberFormat="1" applyFont="1" applyFill="1" applyBorder="1"/>
    <xf numFmtId="166" fontId="10" fillId="5" borderId="2" xfId="0" applyNumberFormat="1" applyFont="1" applyFill="1" applyBorder="1"/>
    <xf numFmtId="0" fontId="11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wrapText="1"/>
    </xf>
    <xf numFmtId="166" fontId="7" fillId="6" borderId="2" xfId="1" applyNumberFormat="1" applyFont="1" applyFill="1" applyBorder="1" applyAlignment="1">
      <alignment horizontal="center"/>
    </xf>
    <xf numFmtId="165" fontId="10" fillId="6" borderId="2" xfId="0" applyNumberFormat="1" applyFont="1" applyFill="1" applyBorder="1"/>
    <xf numFmtId="165" fontId="10" fillId="11" borderId="2" xfId="0" applyNumberFormat="1" applyFont="1" applyFill="1" applyBorder="1"/>
    <xf numFmtId="165" fontId="9" fillId="4" borderId="2" xfId="0" applyNumberFormat="1" applyFont="1" applyFill="1" applyBorder="1" applyAlignment="1">
      <alignment horizontal="right"/>
    </xf>
    <xf numFmtId="165" fontId="9" fillId="4" borderId="7" xfId="0" applyNumberFormat="1" applyFont="1" applyFill="1" applyBorder="1" applyAlignment="1">
      <alignment horizontal="right"/>
    </xf>
    <xf numFmtId="49" fontId="10" fillId="4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/>
    <xf numFmtId="164" fontId="10" fillId="5" borderId="2" xfId="0" applyNumberFormat="1" applyFont="1" applyFill="1" applyBorder="1"/>
    <xf numFmtId="165" fontId="45" fillId="0" borderId="46" xfId="0" applyNumberFormat="1" applyFont="1" applyFill="1" applyBorder="1"/>
    <xf numFmtId="164" fontId="45" fillId="4" borderId="2" xfId="0" applyNumberFormat="1" applyFont="1" applyFill="1" applyBorder="1"/>
    <xf numFmtId="166" fontId="9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/>
    <xf numFmtId="2" fontId="44" fillId="0" borderId="11" xfId="0" applyNumberFormat="1" applyFont="1" applyFill="1" applyBorder="1"/>
    <xf numFmtId="166" fontId="62" fillId="6" borderId="2" xfId="0" applyNumberFormat="1" applyFont="1" applyFill="1" applyBorder="1"/>
    <xf numFmtId="0" fontId="62" fillId="6" borderId="2" xfId="0" applyFont="1" applyFill="1" applyBorder="1"/>
    <xf numFmtId="49" fontId="10" fillId="6" borderId="1" xfId="0" applyNumberFormat="1" applyFont="1" applyFill="1" applyBorder="1"/>
    <xf numFmtId="167" fontId="13" fillId="4" borderId="2" xfId="0" applyNumberFormat="1" applyFont="1" applyFill="1" applyBorder="1"/>
    <xf numFmtId="165" fontId="25" fillId="0" borderId="11" xfId="0" applyNumberFormat="1" applyFont="1" applyFill="1" applyBorder="1"/>
    <xf numFmtId="166" fontId="9" fillId="18" borderId="2" xfId="0" applyNumberFormat="1" applyFont="1" applyFill="1" applyBorder="1"/>
    <xf numFmtId="166" fontId="9" fillId="4" borderId="7" xfId="0" applyNumberFormat="1" applyFont="1" applyFill="1" applyBorder="1" applyAlignment="1">
      <alignment horizontal="right"/>
    </xf>
    <xf numFmtId="165" fontId="10" fillId="6" borderId="11" xfId="1" applyNumberFormat="1" applyFont="1" applyFill="1" applyBorder="1" applyAlignment="1">
      <alignment horizontal="right"/>
    </xf>
    <xf numFmtId="165" fontId="47" fillId="13" borderId="2" xfId="0" applyNumberFormat="1" applyFont="1" applyFill="1" applyBorder="1"/>
    <xf numFmtId="1" fontId="17" fillId="4" borderId="11" xfId="0" applyNumberFormat="1" applyFont="1" applyFill="1" applyBorder="1"/>
    <xf numFmtId="1" fontId="25" fillId="4" borderId="2" xfId="0" applyNumberFormat="1" applyFont="1" applyFill="1" applyBorder="1"/>
    <xf numFmtId="0" fontId="16" fillId="4" borderId="39" xfId="0" applyFont="1" applyFill="1" applyBorder="1"/>
    <xf numFmtId="166" fontId="15" fillId="0" borderId="0" xfId="0" applyNumberFormat="1" applyFont="1"/>
    <xf numFmtId="166" fontId="10" fillId="4" borderId="1" xfId="1" applyNumberFormat="1" applyFont="1" applyFill="1" applyBorder="1" applyAlignment="1">
      <alignment horizontal="center"/>
    </xf>
    <xf numFmtId="166" fontId="10" fillId="4" borderId="10" xfId="1" applyNumberFormat="1" applyFont="1" applyFill="1" applyBorder="1" applyAlignment="1">
      <alignment horizontal="center"/>
    </xf>
    <xf numFmtId="2" fontId="15" fillId="0" borderId="0" xfId="0" applyNumberFormat="1" applyFont="1" applyBorder="1"/>
    <xf numFmtId="171" fontId="62" fillId="0" borderId="0" xfId="0" applyNumberFormat="1" applyFont="1" applyBorder="1"/>
    <xf numFmtId="164" fontId="7" fillId="4" borderId="2" xfId="0" applyNumberFormat="1" applyFont="1" applyFill="1" applyBorder="1"/>
    <xf numFmtId="165" fontId="17" fillId="0" borderId="11" xfId="1" applyNumberFormat="1" applyFont="1" applyFill="1" applyBorder="1" applyAlignment="1">
      <alignment horizontal="right"/>
    </xf>
    <xf numFmtId="165" fontId="17" fillId="0" borderId="2" xfId="1" applyNumberFormat="1" applyFont="1" applyFill="1" applyBorder="1" applyAlignment="1">
      <alignment horizontal="right"/>
    </xf>
    <xf numFmtId="165" fontId="25" fillId="0" borderId="2" xfId="0" applyNumberFormat="1" applyFont="1" applyFill="1" applyBorder="1"/>
    <xf numFmtId="165" fontId="73" fillId="4" borderId="0" xfId="0" applyNumberFormat="1" applyFont="1" applyFill="1" applyAlignment="1">
      <alignment horizontal="right"/>
    </xf>
    <xf numFmtId="171" fontId="45" fillId="4" borderId="0" xfId="0" applyNumberFormat="1" applyFont="1" applyFill="1"/>
    <xf numFmtId="166" fontId="25" fillId="5" borderId="2" xfId="0" applyNumberFormat="1" applyFont="1" applyFill="1" applyBorder="1"/>
    <xf numFmtId="166" fontId="1" fillId="6" borderId="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37" fillId="0" borderId="2" xfId="0" applyFont="1" applyBorder="1"/>
    <xf numFmtId="0" fontId="16" fillId="13" borderId="4" xfId="1" applyFont="1" applyFill="1" applyBorder="1" applyAlignment="1">
      <alignment horizontal="left" wrapText="1"/>
    </xf>
    <xf numFmtId="4" fontId="18" fillId="4" borderId="2" xfId="0" applyNumberFormat="1" applyFont="1" applyFill="1" applyBorder="1"/>
    <xf numFmtId="4" fontId="18" fillId="0" borderId="2" xfId="0" applyNumberFormat="1" applyFont="1" applyBorder="1"/>
    <xf numFmtId="4" fontId="18" fillId="0" borderId="11" xfId="0" applyNumberFormat="1" applyFont="1" applyBorder="1"/>
    <xf numFmtId="166" fontId="18" fillId="0" borderId="2" xfId="0" applyNumberFormat="1" applyFont="1" applyBorder="1"/>
    <xf numFmtId="165" fontId="8" fillId="5" borderId="2" xfId="0" applyNumberFormat="1" applyFont="1" applyFill="1" applyBorder="1" applyAlignment="1">
      <alignment horizontal="left"/>
    </xf>
    <xf numFmtId="49" fontId="10" fillId="6" borderId="7" xfId="0" applyNumberFormat="1" applyFont="1" applyFill="1" applyBorder="1"/>
    <xf numFmtId="0" fontId="10" fillId="6" borderId="7" xfId="0" applyFont="1" applyFill="1" applyBorder="1" applyAlignment="1">
      <alignment vertical="top" wrapText="1"/>
    </xf>
    <xf numFmtId="0" fontId="9" fillId="6" borderId="7" xfId="0" applyFont="1" applyFill="1" applyBorder="1" applyAlignment="1">
      <alignment horizontal="left" wrapText="1"/>
    </xf>
    <xf numFmtId="166" fontId="10" fillId="6" borderId="7" xfId="1" applyNumberFormat="1" applyFont="1" applyFill="1" applyBorder="1" applyAlignment="1">
      <alignment horizontal="center"/>
    </xf>
    <xf numFmtId="166" fontId="9" fillId="6" borderId="7" xfId="1" applyNumberFormat="1" applyFont="1" applyFill="1" applyBorder="1" applyAlignment="1">
      <alignment horizontal="center"/>
    </xf>
    <xf numFmtId="0" fontId="9" fillId="6" borderId="7" xfId="0" applyFont="1" applyFill="1" applyBorder="1"/>
    <xf numFmtId="0" fontId="9" fillId="6" borderId="7" xfId="0" applyFont="1" applyFill="1" applyBorder="1" applyAlignment="1">
      <alignment horizontal="center"/>
    </xf>
    <xf numFmtId="0" fontId="51" fillId="6" borderId="7" xfId="0" applyFont="1" applyFill="1" applyBorder="1" applyAlignment="1">
      <alignment horizontal="center"/>
    </xf>
    <xf numFmtId="0" fontId="51" fillId="6" borderId="7" xfId="0" applyFont="1" applyFill="1" applyBorder="1"/>
    <xf numFmtId="166" fontId="10" fillId="6" borderId="7" xfId="0" applyNumberFormat="1" applyFont="1" applyFill="1" applyBorder="1"/>
    <xf numFmtId="0" fontId="62" fillId="6" borderId="7" xfId="0" applyFont="1" applyFill="1" applyBorder="1"/>
    <xf numFmtId="166" fontId="8" fillId="6" borderId="7" xfId="0" applyNumberFormat="1" applyFont="1" applyFill="1" applyBorder="1"/>
    <xf numFmtId="165" fontId="8" fillId="6" borderId="7" xfId="0" applyNumberFormat="1" applyFont="1" applyFill="1" applyBorder="1"/>
    <xf numFmtId="0" fontId="8" fillId="6" borderId="7" xfId="0" applyFont="1" applyFill="1" applyBorder="1"/>
    <xf numFmtId="4" fontId="10" fillId="6" borderId="7" xfId="0" applyNumberFormat="1" applyFont="1" applyFill="1" applyBorder="1"/>
    <xf numFmtId="49" fontId="10" fillId="6" borderId="15" xfId="0" applyNumberFormat="1" applyFont="1" applyFill="1" applyBorder="1"/>
    <xf numFmtId="0" fontId="10" fillId="6" borderId="15" xfId="0" applyFont="1" applyFill="1" applyBorder="1" applyAlignment="1">
      <alignment wrapText="1"/>
    </xf>
    <xf numFmtId="0" fontId="9" fillId="6" borderId="15" xfId="0" applyFont="1" applyFill="1" applyBorder="1" applyAlignment="1">
      <alignment horizontal="left" wrapText="1"/>
    </xf>
    <xf numFmtId="166" fontId="10" fillId="6" borderId="15" xfId="1" applyNumberFormat="1" applyFont="1" applyFill="1" applyBorder="1" applyAlignment="1">
      <alignment horizontal="center"/>
    </xf>
    <xf numFmtId="166" fontId="9" fillId="6" borderId="15" xfId="1" applyNumberFormat="1" applyFont="1" applyFill="1" applyBorder="1" applyAlignment="1">
      <alignment horizontal="center"/>
    </xf>
    <xf numFmtId="0" fontId="9" fillId="6" borderId="15" xfId="0" applyFont="1" applyFill="1" applyBorder="1"/>
    <xf numFmtId="0" fontId="9" fillId="6" borderId="15" xfId="0" applyFont="1" applyFill="1" applyBorder="1" applyAlignment="1">
      <alignment horizontal="center"/>
    </xf>
    <xf numFmtId="0" fontId="51" fillId="6" borderId="15" xfId="0" applyFont="1" applyFill="1" applyBorder="1" applyAlignment="1">
      <alignment horizontal="center"/>
    </xf>
    <xf numFmtId="0" fontId="51" fillId="6" borderId="15" xfId="0" applyFont="1" applyFill="1" applyBorder="1"/>
    <xf numFmtId="166" fontId="10" fillId="6" borderId="15" xfId="0" applyNumberFormat="1" applyFont="1" applyFill="1" applyBorder="1"/>
    <xf numFmtId="0" fontId="62" fillId="6" borderId="15" xfId="0" applyFont="1" applyFill="1" applyBorder="1"/>
    <xf numFmtId="166" fontId="8" fillId="6" borderId="15" xfId="0" applyNumberFormat="1" applyFont="1" applyFill="1" applyBorder="1"/>
    <xf numFmtId="165" fontId="8" fillId="6" borderId="15" xfId="0" applyNumberFormat="1" applyFont="1" applyFill="1" applyBorder="1"/>
    <xf numFmtId="0" fontId="8" fillId="6" borderId="15" xfId="0" applyFont="1" applyFill="1" applyBorder="1"/>
    <xf numFmtId="49" fontId="7" fillId="11" borderId="2" xfId="0" applyNumberFormat="1" applyFont="1" applyFill="1" applyBorder="1" applyAlignment="1">
      <alignment wrapText="1"/>
    </xf>
    <xf numFmtId="0" fontId="11" fillId="8" borderId="3" xfId="1" applyFont="1" applyFill="1" applyBorder="1" applyAlignment="1">
      <alignment horizontal="left" wrapText="1"/>
    </xf>
    <xf numFmtId="0" fontId="16" fillId="8" borderId="2" xfId="0" applyFont="1" applyFill="1" applyBorder="1"/>
    <xf numFmtId="0" fontId="18" fillId="4" borderId="2" xfId="0" applyFont="1" applyFill="1" applyBorder="1" applyAlignment="1">
      <alignment wrapText="1"/>
    </xf>
    <xf numFmtId="14" fontId="16" fillId="8" borderId="2" xfId="0" applyNumberFormat="1" applyFont="1" applyFill="1" applyBorder="1"/>
    <xf numFmtId="165" fontId="9" fillId="6" borderId="2" xfId="0" applyNumberFormat="1" applyFont="1" applyFill="1" applyBorder="1"/>
    <xf numFmtId="0" fontId="14" fillId="6" borderId="2" xfId="0" applyFont="1" applyFill="1" applyBorder="1"/>
    <xf numFmtId="4" fontId="9" fillId="6" borderId="2" xfId="1" applyNumberFormat="1" applyFont="1" applyFill="1" applyBorder="1" applyAlignment="1">
      <alignment horizontal="right"/>
    </xf>
    <xf numFmtId="4" fontId="52" fillId="6" borderId="2" xfId="0" applyNumberFormat="1" applyFont="1" applyFill="1" applyBorder="1"/>
    <xf numFmtId="4" fontId="51" fillId="6" borderId="2" xfId="1" applyNumberFormat="1" applyFont="1" applyFill="1" applyBorder="1" applyAlignment="1">
      <alignment horizontal="right"/>
    </xf>
    <xf numFmtId="0" fontId="16" fillId="4" borderId="5" xfId="0" applyFont="1" applyFill="1" applyBorder="1"/>
    <xf numFmtId="165" fontId="7" fillId="0" borderId="2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8" fillId="0" borderId="2" xfId="0" applyNumberFormat="1" applyFont="1" applyBorder="1"/>
    <xf numFmtId="166" fontId="8" fillId="0" borderId="11" xfId="1" applyNumberFormat="1" applyFont="1" applyFill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0" fontId="11" fillId="4" borderId="1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165" fontId="8" fillId="8" borderId="2" xfId="0" applyNumberFormat="1" applyFont="1" applyFill="1" applyBorder="1"/>
    <xf numFmtId="165" fontId="8" fillId="5" borderId="11" xfId="0" applyNumberFormat="1" applyFont="1" applyFill="1" applyBorder="1" applyAlignment="1">
      <alignment horizontal="left"/>
    </xf>
    <xf numFmtId="165" fontId="10" fillId="5" borderId="11" xfId="0" applyNumberFormat="1" applyFont="1" applyFill="1" applyBorder="1" applyAlignment="1">
      <alignment horizontal="left"/>
    </xf>
    <xf numFmtId="0" fontId="11" fillId="19" borderId="3" xfId="1" applyFont="1" applyFill="1" applyBorder="1" applyAlignment="1">
      <alignment horizontal="left" vertical="top" wrapText="1"/>
    </xf>
    <xf numFmtId="1" fontId="9" fillId="4" borderId="2" xfId="0" applyNumberFormat="1" applyFont="1" applyFill="1" applyBorder="1" applyAlignment="1">
      <alignment horizontal="right"/>
    </xf>
    <xf numFmtId="166" fontId="1" fillId="13" borderId="11" xfId="0" applyNumberFormat="1" applyFont="1" applyFill="1" applyBorder="1"/>
    <xf numFmtId="166" fontId="22" fillId="5" borderId="11" xfId="0" applyNumberFormat="1" applyFont="1" applyFill="1" applyBorder="1"/>
    <xf numFmtId="49" fontId="16" fillId="19" borderId="55" xfId="0" applyNumberFormat="1" applyFont="1" applyFill="1" applyBorder="1" applyAlignment="1">
      <alignment horizontal="center"/>
    </xf>
    <xf numFmtId="166" fontId="1" fillId="19" borderId="7" xfId="0" applyNumberFormat="1" applyFont="1" applyFill="1" applyBorder="1"/>
    <xf numFmtId="166" fontId="1" fillId="19" borderId="12" xfId="0" applyNumberFormat="1" applyFont="1" applyFill="1" applyBorder="1"/>
    <xf numFmtId="166" fontId="1" fillId="19" borderId="2" xfId="0" applyNumberFormat="1" applyFont="1" applyFill="1" applyBorder="1"/>
    <xf numFmtId="49" fontId="25" fillId="18" borderId="7" xfId="0" applyNumberFormat="1" applyFont="1" applyFill="1" applyBorder="1" applyAlignment="1">
      <alignment horizontal="center"/>
    </xf>
    <xf numFmtId="0" fontId="25" fillId="18" borderId="3" xfId="1" applyFont="1" applyFill="1" applyBorder="1" applyAlignment="1">
      <alignment horizontal="left" vertical="top" wrapText="1"/>
    </xf>
    <xf numFmtId="49" fontId="25" fillId="4" borderId="7" xfId="0" applyNumberFormat="1" applyFont="1" applyFill="1" applyBorder="1" applyAlignment="1">
      <alignment horizontal="center"/>
    </xf>
    <xf numFmtId="0" fontId="22" fillId="0" borderId="3" xfId="1" applyFont="1" applyBorder="1" applyAlignment="1">
      <alignment horizontal="left" vertical="top" wrapText="1"/>
    </xf>
    <xf numFmtId="49" fontId="11" fillId="17" borderId="7" xfId="0" applyNumberFormat="1" applyFont="1" applyFill="1" applyBorder="1" applyAlignment="1">
      <alignment horizontal="center"/>
    </xf>
    <xf numFmtId="0" fontId="11" fillId="17" borderId="4" xfId="1" applyFont="1" applyFill="1" applyBorder="1" applyAlignment="1">
      <alignment horizontal="left" wrapText="1"/>
    </xf>
    <xf numFmtId="4" fontId="14" fillId="0" borderId="0" xfId="0" applyNumberFormat="1" applyFont="1"/>
    <xf numFmtId="165" fontId="15" fillId="0" borderId="2" xfId="0" applyNumberFormat="1" applyFont="1" applyFill="1" applyBorder="1"/>
    <xf numFmtId="4" fontId="7" fillId="4" borderId="2" xfId="1" applyNumberFormat="1" applyFont="1" applyFill="1" applyBorder="1" applyAlignment="1">
      <alignment horizontal="center"/>
    </xf>
    <xf numFmtId="171" fontId="47" fillId="13" borderId="2" xfId="0" applyNumberFormat="1" applyFont="1" applyFill="1" applyBorder="1"/>
    <xf numFmtId="165" fontId="46" fillId="13" borderId="2" xfId="1" applyNumberFormat="1" applyFont="1" applyFill="1" applyBorder="1" applyAlignment="1">
      <alignment horizontal="center"/>
    </xf>
    <xf numFmtId="49" fontId="11" fillId="19" borderId="2" xfId="0" applyNumberFormat="1" applyFont="1" applyFill="1" applyBorder="1" applyAlignment="1">
      <alignment horizontal="center"/>
    </xf>
    <xf numFmtId="49" fontId="11" fillId="19" borderId="4" xfId="1" applyNumberFormat="1" applyFont="1" applyFill="1" applyBorder="1" applyAlignment="1">
      <alignment vertical="top" wrapText="1"/>
    </xf>
    <xf numFmtId="0" fontId="11" fillId="19" borderId="4" xfId="0" applyFont="1" applyFill="1" applyBorder="1" applyAlignment="1">
      <alignment horizontal="center" vertical="top" wrapText="1"/>
    </xf>
    <xf numFmtId="49" fontId="11" fillId="4" borderId="4" xfId="1" applyNumberFormat="1" applyFont="1" applyFill="1" applyBorder="1" applyAlignment="1">
      <alignment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19" borderId="2" xfId="0" applyFont="1" applyFill="1" applyBorder="1" applyAlignment="1">
      <alignment vertical="top" wrapText="1"/>
    </xf>
    <xf numFmtId="0" fontId="11" fillId="19" borderId="2" xfId="0" applyFont="1" applyFill="1" applyBorder="1" applyAlignment="1">
      <alignment wrapText="1"/>
    </xf>
    <xf numFmtId="165" fontId="7" fillId="19" borderId="2" xfId="0" applyNumberFormat="1" applyFont="1" applyFill="1" applyBorder="1"/>
    <xf numFmtId="0" fontId="37" fillId="0" borderId="0" xfId="0" applyFont="1"/>
    <xf numFmtId="165" fontId="8" fillId="0" borderId="2" xfId="1" applyNumberFormat="1" applyFont="1" applyFill="1" applyBorder="1" applyAlignment="1">
      <alignment horizontal="center"/>
    </xf>
    <xf numFmtId="0" fontId="18" fillId="0" borderId="2" xfId="0" applyFont="1" applyBorder="1"/>
    <xf numFmtId="0" fontId="18" fillId="0" borderId="11" xfId="0" applyFont="1" applyBorder="1"/>
    <xf numFmtId="0" fontId="37" fillId="0" borderId="11" xfId="0" applyFont="1" applyBorder="1"/>
    <xf numFmtId="0" fontId="11" fillId="8" borderId="3" xfId="1" applyFont="1" applyFill="1" applyBorder="1" applyAlignment="1">
      <alignment horizontal="left" vertical="center" wrapText="1"/>
    </xf>
    <xf numFmtId="0" fontId="11" fillId="18" borderId="2" xfId="1" applyFont="1" applyFill="1" applyBorder="1" applyAlignment="1">
      <alignment horizontal="left" wrapText="1"/>
    </xf>
    <xf numFmtId="166" fontId="77" fillId="6" borderId="2" xfId="0" applyNumberFormat="1" applyFont="1" applyFill="1" applyBorder="1"/>
    <xf numFmtId="3" fontId="46" fillId="8" borderId="2" xfId="1" applyNumberFormat="1" applyFont="1" applyFill="1" applyBorder="1" applyAlignment="1">
      <alignment horizontal="center"/>
    </xf>
    <xf numFmtId="165" fontId="47" fillId="8" borderId="2" xfId="0" applyNumberFormat="1" applyFont="1" applyFill="1" applyBorder="1"/>
    <xf numFmtId="165" fontId="45" fillId="8" borderId="2" xfId="0" applyNumberFormat="1" applyFont="1" applyFill="1" applyBorder="1"/>
    <xf numFmtId="165" fontId="45" fillId="8" borderId="0" xfId="0" applyNumberFormat="1" applyFont="1" applyFill="1"/>
    <xf numFmtId="1" fontId="46" fillId="8" borderId="2" xfId="1" applyNumberFormat="1" applyFont="1" applyFill="1" applyBorder="1" applyAlignment="1">
      <alignment horizontal="center"/>
    </xf>
    <xf numFmtId="164" fontId="45" fillId="8" borderId="2" xfId="0" applyNumberFormat="1" applyFont="1" applyFill="1" applyBorder="1"/>
    <xf numFmtId="165" fontId="45" fillId="8" borderId="0" xfId="0" applyNumberFormat="1" applyFont="1" applyFill="1" applyBorder="1"/>
    <xf numFmtId="0" fontId="17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16" fillId="0" borderId="2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50" fillId="4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5" fillId="0" borderId="13" xfId="0" applyFont="1" applyBorder="1" applyAlignment="1"/>
    <xf numFmtId="0" fontId="15" fillId="0" borderId="5" xfId="0" applyFont="1" applyBorder="1" applyAlignment="1"/>
    <xf numFmtId="0" fontId="54" fillId="0" borderId="2" xfId="0" applyFont="1" applyBorder="1" applyAlignment="1"/>
    <xf numFmtId="0" fontId="50" fillId="0" borderId="2" xfId="0" applyFont="1" applyFill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3" fillId="0" borderId="54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0" fontId="16" fillId="4" borderId="1" xfId="0" applyFont="1" applyFill="1" applyBorder="1" applyAlignment="1"/>
    <xf numFmtId="0" fontId="15" fillId="0" borderId="7" xfId="0" applyFont="1" applyBorder="1" applyAlignment="1"/>
    <xf numFmtId="49" fontId="10" fillId="4" borderId="11" xfId="1" applyNumberFormat="1" applyFont="1" applyFill="1" applyBorder="1" applyAlignment="1">
      <alignment horizontal="center"/>
    </xf>
    <xf numFmtId="49" fontId="10" fillId="4" borderId="13" xfId="1" applyNumberFormat="1" applyFont="1" applyFill="1" applyBorder="1" applyAlignment="1">
      <alignment horizontal="center"/>
    </xf>
    <xf numFmtId="49" fontId="74" fillId="0" borderId="13" xfId="0" applyNumberFormat="1" applyFont="1" applyBorder="1" applyAlignment="1">
      <alignment horizontal="center"/>
    </xf>
    <xf numFmtId="49" fontId="74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wrapText="1"/>
    </xf>
    <xf numFmtId="0" fontId="0" fillId="0" borderId="0" xfId="0" applyAlignment="1"/>
    <xf numFmtId="0" fontId="11" fillId="4" borderId="0" xfId="0" applyFont="1" applyFill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11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6" fillId="4" borderId="13" xfId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50" fillId="4" borderId="11" xfId="1" applyFont="1" applyFill="1" applyBorder="1" applyAlignment="1">
      <alignment horizontal="center"/>
    </xf>
    <xf numFmtId="0" fontId="50" fillId="4" borderId="13" xfId="1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9" fillId="0" borderId="0" xfId="0" applyFont="1" applyAlignment="1">
      <alignment horizontal="right"/>
    </xf>
    <xf numFmtId="0" fontId="36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/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8" fillId="5" borderId="1" xfId="0" applyFont="1" applyFill="1" applyBorder="1" applyAlignment="1"/>
    <xf numFmtId="0" fontId="0" fillId="0" borderId="7" xfId="0" applyBorder="1" applyAlignment="1"/>
    <xf numFmtId="0" fontId="10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10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0" fillId="4" borderId="0" xfId="0" applyFont="1" applyFill="1" applyBorder="1" applyAlignment="1"/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66">
    <cellStyle name="br" xfId="18"/>
    <cellStyle name="col" xfId="19"/>
    <cellStyle name="style0" xfId="20"/>
    <cellStyle name="td" xfId="21"/>
    <cellStyle name="tr" xfId="22"/>
    <cellStyle name="xl21" xfId="23"/>
    <cellStyle name="xl22" xfId="24"/>
    <cellStyle name="xl23" xfId="25"/>
    <cellStyle name="xl24" xfId="26"/>
    <cellStyle name="xl25" xfId="27"/>
    <cellStyle name="xl26" xfId="16"/>
    <cellStyle name="xl27" xfId="28"/>
    <cellStyle name="xl28" xfId="29"/>
    <cellStyle name="xl29" xfId="30"/>
    <cellStyle name="xl30" xfId="31"/>
    <cellStyle name="xl31" xfId="10"/>
    <cellStyle name="xl31 2" xfId="32"/>
    <cellStyle name="xl32" xfId="11"/>
    <cellStyle name="xl32 2" xfId="33"/>
    <cellStyle name="xl33" xfId="34"/>
    <cellStyle name="xl34" xfId="14"/>
    <cellStyle name="xl34 2" xfId="35"/>
    <cellStyle name="xl35" xfId="12"/>
    <cellStyle name="xl35 2" xfId="36"/>
    <cellStyle name="xl36" xfId="37"/>
    <cellStyle name="xl37" xfId="38"/>
    <cellStyle name="xl38" xfId="39"/>
    <cellStyle name="xl39" xfId="15"/>
    <cellStyle name="xl39 2" xfId="40"/>
    <cellStyle name="xl40" xfId="41"/>
    <cellStyle name="xl41" xfId="42"/>
    <cellStyle name="xl42" xfId="43"/>
    <cellStyle name="xl43" xfId="44"/>
    <cellStyle name="xl44" xfId="45"/>
    <cellStyle name="xl45" xfId="46"/>
    <cellStyle name="xl46" xfId="47"/>
    <cellStyle name="xl47" xfId="48"/>
    <cellStyle name="xl48" xfId="49"/>
    <cellStyle name="xl49" xfId="50"/>
    <cellStyle name="xl50" xfId="51"/>
    <cellStyle name="xl51" xfId="52"/>
    <cellStyle name="xl52" xfId="53"/>
    <cellStyle name="xl53" xfId="54"/>
    <cellStyle name="xl54" xfId="55"/>
    <cellStyle name="xl55" xfId="56"/>
    <cellStyle name="xl56" xfId="57"/>
    <cellStyle name="xl57" xfId="58"/>
    <cellStyle name="xl58" xfId="59"/>
    <cellStyle name="xl59" xfId="60"/>
    <cellStyle name="xl60" xfId="61"/>
    <cellStyle name="xl61" xfId="62"/>
    <cellStyle name="xl62" xfId="63"/>
    <cellStyle name="xl63" xfId="64"/>
    <cellStyle name="xl64" xfId="65"/>
    <cellStyle name="Обычный" xfId="0" builtinId="0"/>
    <cellStyle name="Обычный 10" xfId="4"/>
    <cellStyle name="Обычный 11" xfId="17"/>
    <cellStyle name="Обычный 2" xfId="1"/>
    <cellStyle name="Обычный 3" xfId="3"/>
    <cellStyle name="Обычный 4" xfId="6"/>
    <cellStyle name="Обычный 5" xfId="5"/>
    <cellStyle name="Обычный 6" xfId="7"/>
    <cellStyle name="Обычный 7" xfId="8"/>
    <cellStyle name="Обычный 8" xfId="9"/>
    <cellStyle name="Обычный 9" xfId="1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63"/>
      <c r="B1" s="67" t="s">
        <v>138</v>
      </c>
      <c r="C1" s="67" t="s">
        <v>15</v>
      </c>
      <c r="D1" s="67" t="s">
        <v>65</v>
      </c>
      <c r="E1" s="67" t="s">
        <v>134</v>
      </c>
      <c r="F1" s="67" t="s">
        <v>135</v>
      </c>
    </row>
    <row r="2" spans="1:6" ht="29.25" x14ac:dyDescent="0.25">
      <c r="A2" s="20" t="s">
        <v>54</v>
      </c>
      <c r="B2" s="35" t="s">
        <v>58</v>
      </c>
      <c r="C2" s="43"/>
      <c r="D2" s="5" t="s">
        <v>2</v>
      </c>
      <c r="E2" s="37">
        <f>E3+E5</f>
        <v>3243.7530000000002</v>
      </c>
      <c r="F2" s="37">
        <f>F3+F5</f>
        <v>2511.0529999999999</v>
      </c>
    </row>
    <row r="3" spans="1:6" ht="15.75" x14ac:dyDescent="0.25">
      <c r="A3" s="44"/>
      <c r="B3" s="45"/>
      <c r="C3" s="43"/>
      <c r="D3" s="6" t="s">
        <v>3</v>
      </c>
      <c r="E3" s="38">
        <f>SUM(E7:E16)</f>
        <v>1226.8430000000001</v>
      </c>
      <c r="F3" s="38">
        <f>SUM(F7:F16)</f>
        <v>1226.8430000000001</v>
      </c>
    </row>
    <row r="4" spans="1:6" ht="15.75" x14ac:dyDescent="0.25">
      <c r="A4" s="44"/>
      <c r="B4" s="45"/>
      <c r="C4" s="43"/>
      <c r="D4" s="6" t="s">
        <v>4</v>
      </c>
      <c r="E4" s="38"/>
      <c r="F4" s="38"/>
    </row>
    <row r="5" spans="1:6" ht="15.75" x14ac:dyDescent="0.25">
      <c r="A5" s="44"/>
      <c r="B5" s="45"/>
      <c r="C5" s="43"/>
      <c r="D5" s="6" t="s">
        <v>5</v>
      </c>
      <c r="E5" s="37">
        <f>SUM(E18:E33)</f>
        <v>2016.91</v>
      </c>
      <c r="F5" s="37">
        <f>SUM(F18:F33)</f>
        <v>1284.21</v>
      </c>
    </row>
    <row r="6" spans="1:6" ht="11.25" customHeight="1" x14ac:dyDescent="0.25">
      <c r="A6" s="31"/>
      <c r="B6" s="15" t="s">
        <v>86</v>
      </c>
      <c r="C6" s="13"/>
      <c r="D6" s="8"/>
      <c r="E6" s="27"/>
      <c r="F6" s="31"/>
    </row>
    <row r="7" spans="1:6" ht="30" x14ac:dyDescent="0.25">
      <c r="A7" s="31"/>
      <c r="B7" s="1" t="s">
        <v>87</v>
      </c>
      <c r="C7" s="9" t="s">
        <v>81</v>
      </c>
      <c r="D7" s="8" t="s">
        <v>3</v>
      </c>
      <c r="E7" s="34">
        <v>67.819000000000003</v>
      </c>
      <c r="F7" s="65">
        <f>E7</f>
        <v>67.819000000000003</v>
      </c>
    </row>
    <row r="8" spans="1:6" ht="30" x14ac:dyDescent="0.25">
      <c r="A8" s="31"/>
      <c r="B8" s="1" t="s">
        <v>87</v>
      </c>
      <c r="C8" s="9" t="s">
        <v>88</v>
      </c>
      <c r="D8" s="8" t="s">
        <v>3</v>
      </c>
      <c r="E8" s="34">
        <v>67.819000000000003</v>
      </c>
      <c r="F8" s="65">
        <f t="shared" ref="F8:F33" si="0">E8</f>
        <v>67.819000000000003</v>
      </c>
    </row>
    <row r="9" spans="1:6" ht="30" x14ac:dyDescent="0.25">
      <c r="A9" s="31"/>
      <c r="B9" s="2" t="s">
        <v>117</v>
      </c>
      <c r="C9" s="11" t="s">
        <v>24</v>
      </c>
      <c r="D9" s="8" t="s">
        <v>3</v>
      </c>
      <c r="E9" s="34">
        <v>67.819000000000003</v>
      </c>
      <c r="F9" s="65">
        <f t="shared" si="0"/>
        <v>67.819000000000003</v>
      </c>
    </row>
    <row r="10" spans="1:6" x14ac:dyDescent="0.25">
      <c r="A10" s="31"/>
      <c r="B10" s="2" t="s">
        <v>118</v>
      </c>
      <c r="C10" s="11" t="s">
        <v>28</v>
      </c>
      <c r="D10" s="8" t="s">
        <v>3</v>
      </c>
      <c r="E10" s="34">
        <v>491.58199999999999</v>
      </c>
      <c r="F10" s="65">
        <f t="shared" si="0"/>
        <v>491.58199999999999</v>
      </c>
    </row>
    <row r="11" spans="1:6" ht="30" x14ac:dyDescent="0.25">
      <c r="A11" s="31"/>
      <c r="B11" s="1" t="s">
        <v>89</v>
      </c>
      <c r="C11" s="9" t="s">
        <v>34</v>
      </c>
      <c r="D11" s="8" t="s">
        <v>3</v>
      </c>
      <c r="E11" s="46">
        <v>92</v>
      </c>
      <c r="F11" s="66">
        <f t="shared" si="0"/>
        <v>92</v>
      </c>
    </row>
    <row r="12" spans="1:6" ht="30" x14ac:dyDescent="0.25">
      <c r="A12" s="31"/>
      <c r="B12" s="1" t="s">
        <v>90</v>
      </c>
      <c r="C12" s="9" t="s">
        <v>32</v>
      </c>
      <c r="D12" s="8" t="s">
        <v>3</v>
      </c>
      <c r="E12" s="46">
        <v>98</v>
      </c>
      <c r="F12" s="66">
        <f t="shared" si="0"/>
        <v>98</v>
      </c>
    </row>
    <row r="13" spans="1:6" x14ac:dyDescent="0.25">
      <c r="A13" s="31"/>
      <c r="B13" s="1" t="s">
        <v>91</v>
      </c>
      <c r="C13" s="9" t="s">
        <v>39</v>
      </c>
      <c r="D13" s="8" t="s">
        <v>3</v>
      </c>
      <c r="E13" s="34">
        <v>176.304</v>
      </c>
      <c r="F13" s="66">
        <f t="shared" si="0"/>
        <v>176.304</v>
      </c>
    </row>
    <row r="14" spans="1:6" ht="30" x14ac:dyDescent="0.25">
      <c r="A14" s="31"/>
      <c r="B14" s="2" t="s">
        <v>89</v>
      </c>
      <c r="C14" s="11" t="s">
        <v>120</v>
      </c>
      <c r="D14" s="8" t="s">
        <v>3</v>
      </c>
      <c r="E14" s="46">
        <v>25</v>
      </c>
      <c r="F14" s="66">
        <f t="shared" si="0"/>
        <v>25</v>
      </c>
    </row>
    <row r="15" spans="1:6" ht="30" x14ac:dyDescent="0.25">
      <c r="A15" s="31"/>
      <c r="B15" s="2" t="s">
        <v>89</v>
      </c>
      <c r="C15" s="11" t="s">
        <v>119</v>
      </c>
      <c r="D15" s="8" t="s">
        <v>3</v>
      </c>
      <c r="E15" s="46">
        <v>57.5</v>
      </c>
      <c r="F15" s="66">
        <f t="shared" si="0"/>
        <v>57.5</v>
      </c>
    </row>
    <row r="16" spans="1:6" ht="30" x14ac:dyDescent="0.25">
      <c r="A16" s="31"/>
      <c r="B16" s="2" t="s">
        <v>89</v>
      </c>
      <c r="C16" s="11" t="s">
        <v>37</v>
      </c>
      <c r="D16" s="8" t="s">
        <v>3</v>
      </c>
      <c r="E16" s="46">
        <v>83</v>
      </c>
      <c r="F16" s="66">
        <f t="shared" si="0"/>
        <v>83</v>
      </c>
    </row>
    <row r="17" spans="1:9" x14ac:dyDescent="0.25">
      <c r="A17" s="31"/>
      <c r="B17" s="15" t="s">
        <v>18</v>
      </c>
      <c r="C17" s="13"/>
      <c r="D17" s="8"/>
      <c r="E17" s="27"/>
      <c r="F17" s="53">
        <f t="shared" si="0"/>
        <v>0</v>
      </c>
    </row>
    <row r="18" spans="1:9" ht="30" x14ac:dyDescent="0.25">
      <c r="A18" s="31"/>
      <c r="B18" s="2" t="s">
        <v>116</v>
      </c>
      <c r="C18" s="11" t="s">
        <v>39</v>
      </c>
      <c r="D18" s="8" t="s">
        <v>5</v>
      </c>
      <c r="E18" s="46">
        <v>486.71</v>
      </c>
      <c r="F18" s="53">
        <f t="shared" si="0"/>
        <v>486.71</v>
      </c>
    </row>
    <row r="19" spans="1:9" ht="30" x14ac:dyDescent="0.25">
      <c r="A19" s="31"/>
      <c r="B19" s="2" t="s">
        <v>139</v>
      </c>
      <c r="C19" s="9" t="s">
        <v>30</v>
      </c>
      <c r="D19" s="8" t="s">
        <v>5</v>
      </c>
      <c r="E19" s="46">
        <v>16</v>
      </c>
      <c r="F19" s="53">
        <f t="shared" si="0"/>
        <v>16</v>
      </c>
    </row>
    <row r="20" spans="1:9" ht="30" x14ac:dyDescent="0.25">
      <c r="A20" s="31"/>
      <c r="B20" s="1" t="s">
        <v>87</v>
      </c>
      <c r="C20" s="9" t="s">
        <v>24</v>
      </c>
      <c r="D20" s="8" t="s">
        <v>5</v>
      </c>
      <c r="E20" s="46"/>
      <c r="F20" s="53"/>
      <c r="G20" s="30"/>
      <c r="H20" s="30"/>
      <c r="I20" s="30" t="s">
        <v>140</v>
      </c>
    </row>
    <row r="21" spans="1:9" ht="30" x14ac:dyDescent="0.25">
      <c r="A21" s="31"/>
      <c r="B21" s="1" t="s">
        <v>89</v>
      </c>
      <c r="C21" s="9" t="s">
        <v>34</v>
      </c>
      <c r="D21" s="8" t="s">
        <v>5</v>
      </c>
      <c r="E21" s="46">
        <v>15</v>
      </c>
      <c r="F21" s="53">
        <f t="shared" si="0"/>
        <v>15</v>
      </c>
      <c r="G21" s="30" t="s">
        <v>141</v>
      </c>
      <c r="H21" s="30">
        <v>1832.0050000000001</v>
      </c>
      <c r="I21" s="30">
        <v>296.91399999999999</v>
      </c>
    </row>
    <row r="22" spans="1:9" ht="30" x14ac:dyDescent="0.25">
      <c r="A22" s="31"/>
      <c r="B22" s="1" t="s">
        <v>92</v>
      </c>
      <c r="C22" s="9" t="s">
        <v>93</v>
      </c>
      <c r="D22" s="8" t="s">
        <v>5</v>
      </c>
      <c r="E22" s="46">
        <v>732.7</v>
      </c>
      <c r="F22" s="53">
        <v>0</v>
      </c>
    </row>
    <row r="23" spans="1:9" ht="30" x14ac:dyDescent="0.25">
      <c r="A23" s="31"/>
      <c r="B23" s="1" t="s">
        <v>111</v>
      </c>
      <c r="C23" s="9" t="s">
        <v>110</v>
      </c>
      <c r="D23" s="8" t="s">
        <v>5</v>
      </c>
      <c r="E23" s="46">
        <v>70</v>
      </c>
      <c r="F23" s="53">
        <f t="shared" si="0"/>
        <v>70</v>
      </c>
    </row>
    <row r="24" spans="1:9" ht="30" x14ac:dyDescent="0.25">
      <c r="A24" s="31"/>
      <c r="B24" s="1" t="s">
        <v>94</v>
      </c>
      <c r="C24" s="9" t="s">
        <v>37</v>
      </c>
      <c r="D24" s="8" t="s">
        <v>5</v>
      </c>
      <c r="E24" s="46">
        <v>69</v>
      </c>
      <c r="F24" s="53">
        <f t="shared" si="0"/>
        <v>69</v>
      </c>
    </row>
    <row r="25" spans="1:9" ht="30" x14ac:dyDescent="0.25">
      <c r="A25" s="31"/>
      <c r="B25" s="1" t="s">
        <v>95</v>
      </c>
      <c r="C25" s="9" t="s">
        <v>37</v>
      </c>
      <c r="D25" s="8" t="s">
        <v>5</v>
      </c>
      <c r="E25" s="46">
        <v>20</v>
      </c>
      <c r="F25" s="53">
        <f t="shared" si="0"/>
        <v>20</v>
      </c>
    </row>
    <row r="26" spans="1:9" ht="30" x14ac:dyDescent="0.25">
      <c r="A26" s="31"/>
      <c r="B26" s="1" t="s">
        <v>96</v>
      </c>
      <c r="C26" s="9" t="s">
        <v>97</v>
      </c>
      <c r="D26" s="8" t="s">
        <v>5</v>
      </c>
      <c r="E26" s="46">
        <v>80</v>
      </c>
      <c r="F26" s="53">
        <f t="shared" si="0"/>
        <v>80</v>
      </c>
    </row>
    <row r="27" spans="1:9" ht="15.75" customHeight="1" x14ac:dyDescent="0.25">
      <c r="A27" s="31"/>
      <c r="B27" s="1" t="s">
        <v>128</v>
      </c>
      <c r="C27" s="9" t="s">
        <v>97</v>
      </c>
      <c r="D27" s="8" t="s">
        <v>5</v>
      </c>
      <c r="E27" s="46">
        <v>130</v>
      </c>
      <c r="F27" s="53">
        <f t="shared" si="0"/>
        <v>130</v>
      </c>
    </row>
    <row r="28" spans="1:9" ht="30" x14ac:dyDescent="0.25">
      <c r="A28" s="31"/>
      <c r="B28" s="1" t="s">
        <v>98</v>
      </c>
      <c r="C28" s="9" t="s">
        <v>11</v>
      </c>
      <c r="D28" s="8" t="s">
        <v>5</v>
      </c>
      <c r="E28" s="46">
        <v>100</v>
      </c>
      <c r="F28" s="53">
        <f t="shared" si="0"/>
        <v>100</v>
      </c>
    </row>
    <row r="29" spans="1:9" ht="30" x14ac:dyDescent="0.25">
      <c r="A29" s="31"/>
      <c r="B29" s="1" t="s">
        <v>130</v>
      </c>
      <c r="C29" s="9" t="s">
        <v>11</v>
      </c>
      <c r="D29" s="8" t="s">
        <v>5</v>
      </c>
      <c r="E29" s="46">
        <v>100</v>
      </c>
      <c r="F29" s="53">
        <f t="shared" si="0"/>
        <v>100</v>
      </c>
    </row>
    <row r="30" spans="1:9" ht="30" x14ac:dyDescent="0.25">
      <c r="A30" s="31"/>
      <c r="B30" s="1" t="s">
        <v>94</v>
      </c>
      <c r="C30" s="9" t="s">
        <v>11</v>
      </c>
      <c r="D30" s="8" t="s">
        <v>5</v>
      </c>
      <c r="E30" s="46">
        <v>42.5</v>
      </c>
      <c r="F30" s="53">
        <f t="shared" si="0"/>
        <v>42.5</v>
      </c>
    </row>
    <row r="31" spans="1:9" ht="30" x14ac:dyDescent="0.25">
      <c r="A31" s="31"/>
      <c r="B31" s="1" t="s">
        <v>99</v>
      </c>
      <c r="C31" s="9" t="s">
        <v>11</v>
      </c>
      <c r="D31" s="8" t="s">
        <v>5</v>
      </c>
      <c r="E31" s="46">
        <v>50</v>
      </c>
      <c r="F31" s="53">
        <f t="shared" si="0"/>
        <v>50</v>
      </c>
    </row>
    <row r="32" spans="1:9" x14ac:dyDescent="0.25">
      <c r="A32" s="31"/>
      <c r="B32" s="1" t="s">
        <v>100</v>
      </c>
      <c r="C32" s="9" t="s">
        <v>26</v>
      </c>
      <c r="D32" s="8" t="s">
        <v>5</v>
      </c>
      <c r="E32" s="46">
        <v>72</v>
      </c>
      <c r="F32" s="53">
        <f t="shared" si="0"/>
        <v>72</v>
      </c>
    </row>
    <row r="33" spans="1:6" x14ac:dyDescent="0.25">
      <c r="A33" s="31"/>
      <c r="B33" s="2" t="s">
        <v>122</v>
      </c>
      <c r="C33" s="11" t="s">
        <v>77</v>
      </c>
      <c r="D33" s="8" t="s">
        <v>5</v>
      </c>
      <c r="E33" s="46">
        <v>33</v>
      </c>
      <c r="F33" s="53">
        <f t="shared" si="0"/>
        <v>33</v>
      </c>
    </row>
    <row r="34" spans="1:6" ht="43.5" x14ac:dyDescent="0.25">
      <c r="A34" s="20" t="s">
        <v>55</v>
      </c>
      <c r="B34" s="35" t="s">
        <v>73</v>
      </c>
      <c r="C34" s="36"/>
      <c r="D34" s="5" t="s">
        <v>2</v>
      </c>
      <c r="E34" s="25">
        <f>E35+E36+E37</f>
        <v>4850.7353000000003</v>
      </c>
      <c r="F34" s="52">
        <f>F35+F36+F37</f>
        <v>3233.2550000000001</v>
      </c>
    </row>
    <row r="35" spans="1:6" x14ac:dyDescent="0.25">
      <c r="A35" s="20"/>
      <c r="B35" s="35"/>
      <c r="C35" s="36"/>
      <c r="D35" s="6" t="s">
        <v>3</v>
      </c>
      <c r="E35" s="37">
        <f>E39</f>
        <v>1346.1573000000001</v>
      </c>
      <c r="F35" s="37">
        <f>F39</f>
        <v>702.90700000000004</v>
      </c>
    </row>
    <row r="36" spans="1:6" x14ac:dyDescent="0.25">
      <c r="A36" s="20"/>
      <c r="B36" s="35"/>
      <c r="C36" s="36"/>
      <c r="D36" s="6" t="s">
        <v>4</v>
      </c>
      <c r="E36" s="38"/>
      <c r="F36" s="38"/>
    </row>
    <row r="37" spans="1:6" x14ac:dyDescent="0.25">
      <c r="A37" s="20"/>
      <c r="B37" s="35"/>
      <c r="C37" s="36"/>
      <c r="D37" s="6" t="s">
        <v>5</v>
      </c>
      <c r="E37" s="39">
        <f>SUM(E41:E56)</f>
        <v>3504.578</v>
      </c>
      <c r="F37" s="39">
        <f>SUM(F41:F56)</f>
        <v>2530.348</v>
      </c>
    </row>
    <row r="38" spans="1:6" x14ac:dyDescent="0.25">
      <c r="A38" s="19"/>
      <c r="B38" s="18" t="s">
        <v>86</v>
      </c>
      <c r="C38" s="14"/>
      <c r="D38" s="7"/>
      <c r="E38" s="22"/>
      <c r="F38" s="65"/>
    </row>
    <row r="39" spans="1:6" x14ac:dyDescent="0.25">
      <c r="A39" s="19"/>
      <c r="B39" s="2" t="s">
        <v>27</v>
      </c>
      <c r="C39" s="11" t="s">
        <v>28</v>
      </c>
      <c r="D39" s="8" t="s">
        <v>3</v>
      </c>
      <c r="E39" s="47">
        <v>1346.1573000000001</v>
      </c>
      <c r="F39" s="65">
        <v>702.90700000000004</v>
      </c>
    </row>
    <row r="40" spans="1:6" x14ac:dyDescent="0.25">
      <c r="A40" s="19"/>
      <c r="B40" s="18" t="s">
        <v>18</v>
      </c>
      <c r="C40" s="11"/>
      <c r="D40" s="7"/>
      <c r="E40" s="48"/>
      <c r="F40" s="31"/>
    </row>
    <row r="41" spans="1:6" ht="30" x14ac:dyDescent="0.25">
      <c r="A41" s="19"/>
      <c r="B41" s="2" t="s">
        <v>124</v>
      </c>
      <c r="C41" s="11" t="s">
        <v>31</v>
      </c>
      <c r="D41" s="8" t="s">
        <v>5</v>
      </c>
      <c r="E41" s="47">
        <v>37</v>
      </c>
      <c r="F41" s="54">
        <f>E41</f>
        <v>37</v>
      </c>
    </row>
    <row r="42" spans="1:6" ht="60" x14ac:dyDescent="0.25">
      <c r="A42" s="19"/>
      <c r="B42" s="2" t="s">
        <v>131</v>
      </c>
      <c r="C42" s="11" t="s">
        <v>101</v>
      </c>
      <c r="D42" s="8" t="s">
        <v>5</v>
      </c>
      <c r="E42" s="47">
        <v>150</v>
      </c>
      <c r="F42" s="54">
        <f t="shared" ref="F42:F56" si="1">E42</f>
        <v>150</v>
      </c>
    </row>
    <row r="43" spans="1:6" x14ac:dyDescent="0.25">
      <c r="A43" s="19"/>
      <c r="B43" s="2" t="s">
        <v>102</v>
      </c>
      <c r="C43" s="11" t="s">
        <v>101</v>
      </c>
      <c r="D43" s="8" t="s">
        <v>5</v>
      </c>
      <c r="E43" s="47">
        <v>200</v>
      </c>
      <c r="F43" s="54"/>
    </row>
    <row r="44" spans="1:6" x14ac:dyDescent="0.25">
      <c r="A44" s="19"/>
      <c r="B44" s="2" t="s">
        <v>35</v>
      </c>
      <c r="C44" s="11" t="s">
        <v>19</v>
      </c>
      <c r="D44" s="8" t="s">
        <v>5</v>
      </c>
      <c r="E44" s="47">
        <v>850.39</v>
      </c>
      <c r="F44" s="54">
        <f t="shared" si="1"/>
        <v>850.39</v>
      </c>
    </row>
    <row r="45" spans="1:6" x14ac:dyDescent="0.25">
      <c r="A45" s="19"/>
      <c r="B45" s="2" t="s">
        <v>132</v>
      </c>
      <c r="C45" s="11" t="s">
        <v>70</v>
      </c>
      <c r="D45" s="8" t="s">
        <v>5</v>
      </c>
      <c r="E45" s="47">
        <v>0</v>
      </c>
      <c r="F45" s="54">
        <f t="shared" si="1"/>
        <v>0</v>
      </c>
    </row>
    <row r="46" spans="1:6" ht="18.75" customHeight="1" x14ac:dyDescent="0.25">
      <c r="A46" s="19"/>
      <c r="B46" s="2" t="s">
        <v>38</v>
      </c>
      <c r="C46" s="11" t="s">
        <v>39</v>
      </c>
      <c r="D46" s="8" t="s">
        <v>5</v>
      </c>
      <c r="E46" s="47">
        <v>200</v>
      </c>
      <c r="F46" s="54">
        <v>0</v>
      </c>
    </row>
    <row r="47" spans="1:6" x14ac:dyDescent="0.25">
      <c r="A47" s="19"/>
      <c r="B47" s="2" t="s">
        <v>33</v>
      </c>
      <c r="C47" s="11" t="s">
        <v>17</v>
      </c>
      <c r="D47" s="8" t="s">
        <v>5</v>
      </c>
      <c r="E47" s="47">
        <v>238.12799999999999</v>
      </c>
      <c r="F47" s="54">
        <v>0</v>
      </c>
    </row>
    <row r="48" spans="1:6" x14ac:dyDescent="0.25">
      <c r="A48" s="19"/>
      <c r="B48" s="2" t="s">
        <v>48</v>
      </c>
      <c r="C48" s="11" t="s">
        <v>43</v>
      </c>
      <c r="D48" s="8" t="s">
        <v>5</v>
      </c>
      <c r="E48" s="47">
        <v>814.5</v>
      </c>
      <c r="F48" s="54">
        <f>179.798+448.6</f>
        <v>628.39800000000002</v>
      </c>
    </row>
    <row r="49" spans="1:6" ht="26.25" x14ac:dyDescent="0.25">
      <c r="A49" s="19"/>
      <c r="B49" s="2" t="s">
        <v>129</v>
      </c>
      <c r="C49" s="11" t="s">
        <v>61</v>
      </c>
      <c r="D49" s="8" t="s">
        <v>5</v>
      </c>
      <c r="E49" s="49">
        <v>400</v>
      </c>
      <c r="F49" s="54">
        <f t="shared" si="1"/>
        <v>400</v>
      </c>
    </row>
    <row r="50" spans="1:6" ht="29.25" customHeight="1" x14ac:dyDescent="0.25">
      <c r="A50" s="19"/>
      <c r="B50" s="3" t="s">
        <v>85</v>
      </c>
      <c r="C50" s="11" t="s">
        <v>84</v>
      </c>
      <c r="D50" s="8" t="s">
        <v>5</v>
      </c>
      <c r="E50" s="49">
        <v>0</v>
      </c>
      <c r="F50" s="54">
        <f t="shared" si="1"/>
        <v>0</v>
      </c>
    </row>
    <row r="51" spans="1:6" ht="30" x14ac:dyDescent="0.25">
      <c r="A51" s="19"/>
      <c r="B51" s="3" t="s">
        <v>121</v>
      </c>
      <c r="C51" s="11" t="s">
        <v>37</v>
      </c>
      <c r="D51" s="8" t="s">
        <v>5</v>
      </c>
      <c r="E51" s="49">
        <v>57</v>
      </c>
      <c r="F51" s="54">
        <f t="shared" si="1"/>
        <v>57</v>
      </c>
    </row>
    <row r="52" spans="1:6" ht="45" x14ac:dyDescent="0.25">
      <c r="A52" s="19"/>
      <c r="B52" s="3" t="s">
        <v>103</v>
      </c>
      <c r="C52" s="11" t="s">
        <v>37</v>
      </c>
      <c r="D52" s="8" t="s">
        <v>5</v>
      </c>
      <c r="E52" s="49">
        <v>30</v>
      </c>
      <c r="F52" s="54">
        <f t="shared" si="1"/>
        <v>30</v>
      </c>
    </row>
    <row r="53" spans="1:6" x14ac:dyDescent="0.25">
      <c r="A53" s="19"/>
      <c r="B53" s="3" t="s">
        <v>123</v>
      </c>
      <c r="C53" s="11" t="s">
        <v>37</v>
      </c>
      <c r="D53" s="8"/>
      <c r="E53" s="49">
        <v>25</v>
      </c>
      <c r="F53" s="54">
        <f t="shared" si="1"/>
        <v>25</v>
      </c>
    </row>
    <row r="54" spans="1:6" x14ac:dyDescent="0.25">
      <c r="A54" s="19"/>
      <c r="B54" s="3" t="s">
        <v>104</v>
      </c>
      <c r="C54" s="11" t="s">
        <v>88</v>
      </c>
      <c r="D54" s="8" t="s">
        <v>5</v>
      </c>
      <c r="E54" s="49">
        <v>150</v>
      </c>
      <c r="F54" s="54">
        <v>0</v>
      </c>
    </row>
    <row r="55" spans="1:6" ht="28.5" customHeight="1" x14ac:dyDescent="0.25">
      <c r="A55" s="19"/>
      <c r="B55" s="2" t="s">
        <v>126</v>
      </c>
      <c r="C55" s="11" t="s">
        <v>20</v>
      </c>
      <c r="D55" s="8" t="s">
        <v>5</v>
      </c>
      <c r="E55" s="49">
        <v>170</v>
      </c>
      <c r="F55" s="54">
        <f t="shared" si="1"/>
        <v>170</v>
      </c>
    </row>
    <row r="56" spans="1:6" ht="16.5" customHeight="1" x14ac:dyDescent="0.25">
      <c r="A56" s="19"/>
      <c r="B56" s="2" t="s">
        <v>127</v>
      </c>
      <c r="C56" s="11" t="s">
        <v>17</v>
      </c>
      <c r="D56" s="8" t="s">
        <v>5</v>
      </c>
      <c r="E56" s="49">
        <v>182.56</v>
      </c>
      <c r="F56" s="54">
        <f t="shared" si="1"/>
        <v>182.56</v>
      </c>
    </row>
    <row r="57" spans="1:6" s="30" customFormat="1" ht="43.5" x14ac:dyDescent="0.25">
      <c r="A57" s="21" t="s">
        <v>59</v>
      </c>
      <c r="B57" s="12" t="s">
        <v>66</v>
      </c>
      <c r="C57" s="11"/>
      <c r="D57" s="5" t="s">
        <v>2</v>
      </c>
      <c r="E57" s="51">
        <f>E58+E59+E60</f>
        <v>400</v>
      </c>
      <c r="F57" s="51">
        <f>F58+F59+F60</f>
        <v>400</v>
      </c>
    </row>
    <row r="58" spans="1:6" s="30" customFormat="1" x14ac:dyDescent="0.25">
      <c r="A58" s="19"/>
      <c r="B58" s="2"/>
      <c r="C58" s="11"/>
      <c r="D58" s="6" t="s">
        <v>3</v>
      </c>
      <c r="E58" s="56"/>
      <c r="F58" s="57"/>
    </row>
    <row r="59" spans="1:6" s="30" customFormat="1" x14ac:dyDescent="0.25">
      <c r="A59" s="19"/>
      <c r="B59" s="2"/>
      <c r="C59" s="11"/>
      <c r="D59" s="6" t="s">
        <v>4</v>
      </c>
      <c r="E59" s="56"/>
      <c r="F59" s="57"/>
    </row>
    <row r="60" spans="1:6" s="30" customFormat="1" x14ac:dyDescent="0.25">
      <c r="A60" s="19"/>
      <c r="B60" s="2"/>
      <c r="C60" s="11"/>
      <c r="D60" s="6" t="s">
        <v>5</v>
      </c>
      <c r="E60" s="56">
        <v>400</v>
      </c>
      <c r="F60" s="57">
        <f>F61</f>
        <v>400</v>
      </c>
    </row>
    <row r="61" spans="1:6" s="30" customFormat="1" x14ac:dyDescent="0.25">
      <c r="A61" s="19"/>
      <c r="B61" s="2" t="s">
        <v>136</v>
      </c>
      <c r="C61" s="11" t="s">
        <v>107</v>
      </c>
      <c r="D61" s="8"/>
      <c r="E61" s="49">
        <v>400</v>
      </c>
      <c r="F61" s="54">
        <v>400</v>
      </c>
    </row>
    <row r="62" spans="1:6" s="30" customFormat="1" x14ac:dyDescent="0.25">
      <c r="A62" s="19"/>
      <c r="B62" s="2"/>
      <c r="C62" s="11"/>
      <c r="D62" s="8"/>
      <c r="E62" s="49"/>
      <c r="F62" s="54"/>
    </row>
    <row r="63" spans="1:6" ht="57.75" x14ac:dyDescent="0.25">
      <c r="A63" s="20" t="s">
        <v>67</v>
      </c>
      <c r="B63" s="35" t="s">
        <v>76</v>
      </c>
      <c r="C63" s="10"/>
      <c r="D63" s="5" t="s">
        <v>2</v>
      </c>
      <c r="E63" s="51">
        <f>E64+E65+E66</f>
        <v>906.21199999999999</v>
      </c>
      <c r="F63" s="51">
        <f>F64+F65+F66</f>
        <v>906.21199999999999</v>
      </c>
    </row>
    <row r="64" spans="1:6" x14ac:dyDescent="0.25">
      <c r="A64" s="20"/>
      <c r="B64" s="40"/>
      <c r="C64" s="41"/>
      <c r="D64" s="6" t="s">
        <v>3</v>
      </c>
      <c r="E64" s="29"/>
      <c r="F64" s="29"/>
    </row>
    <row r="65" spans="1:7" x14ac:dyDescent="0.25">
      <c r="A65" s="20"/>
      <c r="B65" s="40"/>
      <c r="C65" s="41"/>
      <c r="D65" s="6" t="s">
        <v>4</v>
      </c>
      <c r="E65" s="29"/>
      <c r="F65" s="29"/>
    </row>
    <row r="66" spans="1:7" x14ac:dyDescent="0.25">
      <c r="A66" s="20"/>
      <c r="B66" s="40"/>
      <c r="C66" s="41"/>
      <c r="D66" s="6" t="s">
        <v>5</v>
      </c>
      <c r="E66" s="42">
        <f>E68+E69</f>
        <v>906.21199999999999</v>
      </c>
      <c r="F66" s="42">
        <f>F68+F69</f>
        <v>906.21199999999999</v>
      </c>
    </row>
    <row r="67" spans="1:7" x14ac:dyDescent="0.25">
      <c r="A67" s="19"/>
      <c r="B67" s="15" t="s">
        <v>18</v>
      </c>
      <c r="C67" s="11"/>
      <c r="D67" s="7"/>
      <c r="E67" s="28"/>
      <c r="F67" s="28"/>
    </row>
    <row r="68" spans="1:7" ht="21.75" customHeight="1" x14ac:dyDescent="0.25">
      <c r="A68" s="32"/>
      <c r="B68" s="1" t="s">
        <v>109</v>
      </c>
      <c r="C68" s="9" t="s">
        <v>34</v>
      </c>
      <c r="D68" s="8" t="s">
        <v>5</v>
      </c>
      <c r="E68" s="50">
        <v>846.21199999999999</v>
      </c>
      <c r="F68" s="50">
        <v>846.21199999999999</v>
      </c>
    </row>
    <row r="69" spans="1:7" x14ac:dyDescent="0.25">
      <c r="A69" s="58"/>
      <c r="B69" s="1" t="s">
        <v>108</v>
      </c>
      <c r="C69" s="9" t="s">
        <v>77</v>
      </c>
      <c r="D69" s="8" t="s">
        <v>5</v>
      </c>
      <c r="E69" s="59">
        <v>60</v>
      </c>
      <c r="F69" s="64">
        <v>60</v>
      </c>
      <c r="G69" t="s">
        <v>137</v>
      </c>
    </row>
    <row r="70" spans="1:7" x14ac:dyDescent="0.25">
      <c r="A70" s="60"/>
      <c r="B70" s="60" t="s">
        <v>133</v>
      </c>
      <c r="C70" s="60"/>
      <c r="D70" s="7" t="s">
        <v>3</v>
      </c>
      <c r="E70" s="61">
        <f>E3+E35+E64</f>
        <v>2573.0003000000002</v>
      </c>
      <c r="F70" s="61">
        <f>F3+F35+F64</f>
        <v>1929.75</v>
      </c>
      <c r="G70" s="33">
        <f>F70/E70*100</f>
        <v>74.999991255344966</v>
      </c>
    </row>
    <row r="71" spans="1:7" x14ac:dyDescent="0.25">
      <c r="A71" s="60"/>
      <c r="B71" s="60"/>
      <c r="C71" s="60"/>
      <c r="D71" s="7" t="s">
        <v>5</v>
      </c>
      <c r="E71" s="62">
        <f>E5+E37+E66+E60</f>
        <v>6827.7000000000007</v>
      </c>
      <c r="F71" s="62">
        <f>F5+F37+F66+F60</f>
        <v>5120.7700000000004</v>
      </c>
      <c r="G71" s="33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5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680" t="s">
        <v>540</v>
      </c>
      <c r="B2" s="1681"/>
      <c r="C2" s="1681"/>
      <c r="D2" s="1681"/>
      <c r="E2" s="1681"/>
      <c r="F2" s="1681"/>
      <c r="G2" s="1681"/>
    </row>
    <row r="3" spans="1:7" x14ac:dyDescent="0.25">
      <c r="A3" s="1681"/>
      <c r="B3" s="1681"/>
      <c r="C3" s="1681"/>
      <c r="D3" s="1681"/>
      <c r="E3" s="1681"/>
      <c r="F3" s="1681"/>
      <c r="G3" s="1681"/>
    </row>
    <row r="4" spans="1:7" x14ac:dyDescent="0.25">
      <c r="A4" s="540"/>
      <c r="B4" s="540"/>
      <c r="C4" s="540"/>
      <c r="D4" s="583" t="s">
        <v>539</v>
      </c>
      <c r="E4" s="539">
        <v>2016</v>
      </c>
      <c r="F4" s="315" t="s">
        <v>379</v>
      </c>
      <c r="G4" s="540"/>
    </row>
    <row r="5" spans="1:7" ht="15.75" thickBot="1" x14ac:dyDescent="0.3">
      <c r="A5" s="540"/>
      <c r="B5" s="540"/>
      <c r="C5" s="540"/>
      <c r="D5" s="540"/>
      <c r="E5" s="539"/>
      <c r="F5" s="315"/>
      <c r="G5" s="540"/>
    </row>
    <row r="6" spans="1:7" ht="20.45" customHeight="1" x14ac:dyDescent="0.25">
      <c r="A6" s="438" t="s">
        <v>435</v>
      </c>
      <c r="B6" s="1693" t="s">
        <v>442</v>
      </c>
      <c r="C6" s="1694"/>
      <c r="D6" s="1694"/>
      <c r="E6" s="1694"/>
      <c r="F6" s="1694"/>
      <c r="G6" s="1695"/>
    </row>
    <row r="7" spans="1:7" ht="15" customHeight="1" x14ac:dyDescent="0.25">
      <c r="A7" s="612" t="s">
        <v>6</v>
      </c>
      <c r="B7" s="606" t="s">
        <v>359</v>
      </c>
      <c r="C7" s="600" t="s">
        <v>507</v>
      </c>
      <c r="D7" s="600" t="s">
        <v>444</v>
      </c>
      <c r="E7" s="600" t="s">
        <v>447</v>
      </c>
      <c r="F7" s="601">
        <v>1927250</v>
      </c>
      <c r="G7" s="577"/>
    </row>
    <row r="8" spans="1:7" ht="15" customHeight="1" x14ac:dyDescent="0.25">
      <c r="A8" s="612"/>
      <c r="B8" s="606" t="s">
        <v>359</v>
      </c>
      <c r="C8" s="600" t="s">
        <v>507</v>
      </c>
      <c r="D8" s="600" t="s">
        <v>444</v>
      </c>
      <c r="E8" s="600" t="s">
        <v>532</v>
      </c>
      <c r="F8" s="601">
        <v>-31800</v>
      </c>
      <c r="G8" s="577"/>
    </row>
    <row r="9" spans="1:7" ht="15" customHeight="1" x14ac:dyDescent="0.25">
      <c r="A9" s="612"/>
      <c r="B9" s="606" t="s">
        <v>359</v>
      </c>
      <c r="C9" s="600" t="s">
        <v>507</v>
      </c>
      <c r="D9" s="600" t="s">
        <v>444</v>
      </c>
      <c r="E9" s="600" t="s">
        <v>480</v>
      </c>
      <c r="F9" s="601">
        <v>-22340.5</v>
      </c>
      <c r="G9" s="577"/>
    </row>
    <row r="10" spans="1:7" ht="15" customHeight="1" x14ac:dyDescent="0.25">
      <c r="A10" s="612"/>
      <c r="B10" s="606" t="s">
        <v>359</v>
      </c>
      <c r="C10" s="600" t="s">
        <v>507</v>
      </c>
      <c r="D10" s="600" t="s">
        <v>444</v>
      </c>
      <c r="E10" s="600" t="s">
        <v>481</v>
      </c>
      <c r="F10" s="601">
        <v>-96273.8</v>
      </c>
      <c r="G10" s="577"/>
    </row>
    <row r="11" spans="1:7" ht="15" customHeight="1" x14ac:dyDescent="0.25">
      <c r="A11" s="612"/>
      <c r="B11" s="606" t="s">
        <v>359</v>
      </c>
      <c r="C11" s="600" t="s">
        <v>507</v>
      </c>
      <c r="D11" s="600" t="s">
        <v>444</v>
      </c>
      <c r="E11" s="600" t="s">
        <v>533</v>
      </c>
      <c r="F11" s="601">
        <v>-632.70000000000005</v>
      </c>
      <c r="G11" s="577"/>
    </row>
    <row r="12" spans="1:7" ht="15" customHeight="1" x14ac:dyDescent="0.25">
      <c r="A12" s="612"/>
      <c r="B12" s="606" t="s">
        <v>359</v>
      </c>
      <c r="C12" s="600" t="s">
        <v>507</v>
      </c>
      <c r="D12" s="600" t="s">
        <v>444</v>
      </c>
      <c r="E12" s="600" t="s">
        <v>448</v>
      </c>
      <c r="F12" s="601">
        <v>-71606</v>
      </c>
      <c r="G12" s="577"/>
    </row>
    <row r="13" spans="1:7" ht="15" customHeight="1" x14ac:dyDescent="0.25">
      <c r="A13" s="612"/>
      <c r="B13" s="606" t="s">
        <v>359</v>
      </c>
      <c r="C13" s="600" t="s">
        <v>507</v>
      </c>
      <c r="D13" s="600" t="s">
        <v>444</v>
      </c>
      <c r="E13" s="600" t="s">
        <v>534</v>
      </c>
      <c r="F13" s="601">
        <v>3899.2</v>
      </c>
      <c r="G13" s="577"/>
    </row>
    <row r="14" spans="1:7" ht="15" customHeight="1" x14ac:dyDescent="0.25">
      <c r="A14" s="612"/>
      <c r="B14" s="606" t="s">
        <v>359</v>
      </c>
      <c r="C14" s="600" t="s">
        <v>507</v>
      </c>
      <c r="D14" s="600" t="s">
        <v>444</v>
      </c>
      <c r="E14" s="600" t="s">
        <v>535</v>
      </c>
      <c r="F14" s="601">
        <v>20000</v>
      </c>
      <c r="G14" s="577"/>
    </row>
    <row r="15" spans="1:7" ht="15" customHeight="1" x14ac:dyDescent="0.25">
      <c r="A15" s="612"/>
      <c r="B15" s="606" t="s">
        <v>359</v>
      </c>
      <c r="C15" s="600" t="s">
        <v>507</v>
      </c>
      <c r="D15" s="600" t="s">
        <v>444</v>
      </c>
      <c r="E15" s="600" t="s">
        <v>510</v>
      </c>
      <c r="F15" s="601">
        <v>125142</v>
      </c>
      <c r="G15" s="577"/>
    </row>
    <row r="16" spans="1:7" ht="15" customHeight="1" x14ac:dyDescent="0.25">
      <c r="A16" s="612"/>
      <c r="B16" s="606" t="s">
        <v>359</v>
      </c>
      <c r="C16" s="600" t="s">
        <v>507</v>
      </c>
      <c r="D16" s="600" t="s">
        <v>444</v>
      </c>
      <c r="E16" s="600" t="s">
        <v>536</v>
      </c>
      <c r="F16" s="601">
        <v>18400</v>
      </c>
      <c r="G16" s="577"/>
    </row>
    <row r="17" spans="1:7" ht="15" customHeight="1" x14ac:dyDescent="0.25">
      <c r="A17" s="612"/>
      <c r="B17" s="606" t="s">
        <v>359</v>
      </c>
      <c r="C17" s="600" t="s">
        <v>507</v>
      </c>
      <c r="D17" s="600" t="s">
        <v>444</v>
      </c>
      <c r="E17" s="600" t="s">
        <v>537</v>
      </c>
      <c r="F17" s="601">
        <v>-36379.4</v>
      </c>
      <c r="G17" s="577"/>
    </row>
    <row r="18" spans="1:7" ht="15" customHeight="1" x14ac:dyDescent="0.25">
      <c r="A18" s="612"/>
      <c r="B18" s="606" t="s">
        <v>359</v>
      </c>
      <c r="C18" s="600" t="s">
        <v>507</v>
      </c>
      <c r="D18" s="600" t="s">
        <v>444</v>
      </c>
      <c r="E18" s="600" t="s">
        <v>538</v>
      </c>
      <c r="F18" s="601">
        <v>-6428.7</v>
      </c>
      <c r="G18" s="577"/>
    </row>
    <row r="19" spans="1:7" ht="15" customHeight="1" x14ac:dyDescent="0.25">
      <c r="A19" s="612"/>
      <c r="B19" s="606" t="s">
        <v>359</v>
      </c>
      <c r="C19" s="600" t="s">
        <v>507</v>
      </c>
      <c r="D19" s="600" t="s">
        <v>444</v>
      </c>
      <c r="E19" s="600" t="s">
        <v>464</v>
      </c>
      <c r="F19" s="601">
        <v>-13455.3</v>
      </c>
      <c r="G19" s="577"/>
    </row>
    <row r="20" spans="1:7" ht="15" customHeight="1" x14ac:dyDescent="0.25">
      <c r="A20" s="612"/>
      <c r="B20" s="606" t="s">
        <v>359</v>
      </c>
      <c r="C20" s="600" t="s">
        <v>507</v>
      </c>
      <c r="D20" s="600" t="s">
        <v>444</v>
      </c>
      <c r="E20" s="600" t="s">
        <v>358</v>
      </c>
      <c r="F20" s="601">
        <v>88525.2</v>
      </c>
      <c r="G20" s="577"/>
    </row>
    <row r="21" spans="1:7" ht="19.149999999999999" customHeight="1" x14ac:dyDescent="0.25">
      <c r="A21" s="612"/>
      <c r="B21" s="607" t="s">
        <v>359</v>
      </c>
      <c r="C21" s="599" t="s">
        <v>507</v>
      </c>
      <c r="D21" s="599" t="s">
        <v>444</v>
      </c>
      <c r="E21" s="429"/>
      <c r="F21" s="604">
        <f>SUM(F7:F20)</f>
        <v>1904300</v>
      </c>
      <c r="G21" s="577"/>
    </row>
    <row r="22" spans="1:7" ht="19.149999999999999" customHeight="1" x14ac:dyDescent="0.25">
      <c r="A22" s="612"/>
      <c r="B22" s="606" t="s">
        <v>359</v>
      </c>
      <c r="C22" s="600" t="s">
        <v>507</v>
      </c>
      <c r="D22" s="600" t="s">
        <v>445</v>
      </c>
      <c r="E22" s="600" t="s">
        <v>447</v>
      </c>
      <c r="F22" s="601">
        <v>1464854</v>
      </c>
      <c r="G22" s="577"/>
    </row>
    <row r="23" spans="1:7" ht="19.149999999999999" customHeight="1" x14ac:dyDescent="0.25">
      <c r="A23" s="612"/>
      <c r="B23" s="606" t="s">
        <v>359</v>
      </c>
      <c r="C23" s="600" t="s">
        <v>507</v>
      </c>
      <c r="D23" s="600" t="s">
        <v>445</v>
      </c>
      <c r="E23" s="600" t="s">
        <v>532</v>
      </c>
      <c r="F23" s="601">
        <v>-11600</v>
      </c>
      <c r="G23" s="577"/>
    </row>
    <row r="24" spans="1:7" ht="19.149999999999999" customHeight="1" x14ac:dyDescent="0.25">
      <c r="A24" s="612"/>
      <c r="B24" s="606" t="s">
        <v>359</v>
      </c>
      <c r="C24" s="600" t="s">
        <v>507</v>
      </c>
      <c r="D24" s="600" t="s">
        <v>445</v>
      </c>
      <c r="E24" s="600" t="s">
        <v>480</v>
      </c>
      <c r="F24" s="601">
        <v>-6047</v>
      </c>
      <c r="G24" s="577"/>
    </row>
    <row r="25" spans="1:7" ht="19.149999999999999" customHeight="1" x14ac:dyDescent="0.25">
      <c r="A25" s="612"/>
      <c r="B25" s="606" t="s">
        <v>359</v>
      </c>
      <c r="C25" s="600" t="s">
        <v>507</v>
      </c>
      <c r="D25" s="600" t="s">
        <v>445</v>
      </c>
      <c r="E25" s="600" t="s">
        <v>481</v>
      </c>
      <c r="F25" s="601">
        <v>-66838</v>
      </c>
      <c r="G25" s="577"/>
    </row>
    <row r="26" spans="1:7" ht="19.149999999999999" customHeight="1" x14ac:dyDescent="0.25">
      <c r="A26" s="612"/>
      <c r="B26" s="606" t="s">
        <v>359</v>
      </c>
      <c r="C26" s="600" t="s">
        <v>507</v>
      </c>
      <c r="D26" s="600" t="s">
        <v>445</v>
      </c>
      <c r="E26" s="600" t="s">
        <v>533</v>
      </c>
      <c r="F26" s="601">
        <v>-10920.6</v>
      </c>
      <c r="G26" s="577"/>
    </row>
    <row r="27" spans="1:7" ht="19.149999999999999" customHeight="1" x14ac:dyDescent="0.25">
      <c r="A27" s="612"/>
      <c r="B27" s="606" t="s">
        <v>359</v>
      </c>
      <c r="C27" s="600" t="s">
        <v>507</v>
      </c>
      <c r="D27" s="600" t="s">
        <v>445</v>
      </c>
      <c r="E27" s="600" t="s">
        <v>448</v>
      </c>
      <c r="F27" s="601">
        <v>185510</v>
      </c>
      <c r="G27" s="577"/>
    </row>
    <row r="28" spans="1:7" ht="19.149999999999999" customHeight="1" x14ac:dyDescent="0.25">
      <c r="A28" s="612"/>
      <c r="B28" s="606" t="s">
        <v>359</v>
      </c>
      <c r="C28" s="600" t="s">
        <v>507</v>
      </c>
      <c r="D28" s="600" t="s">
        <v>445</v>
      </c>
      <c r="E28" s="600" t="s">
        <v>510</v>
      </c>
      <c r="F28" s="601">
        <v>-61036.2</v>
      </c>
      <c r="G28" s="577"/>
    </row>
    <row r="29" spans="1:7" ht="19.149999999999999" customHeight="1" x14ac:dyDescent="0.25">
      <c r="A29" s="612"/>
      <c r="B29" s="606" t="s">
        <v>359</v>
      </c>
      <c r="C29" s="600" t="s">
        <v>507</v>
      </c>
      <c r="D29" s="600" t="s">
        <v>445</v>
      </c>
      <c r="E29" s="600" t="s">
        <v>536</v>
      </c>
      <c r="F29" s="601">
        <v>10000</v>
      </c>
      <c r="G29" s="577"/>
    </row>
    <row r="30" spans="1:7" ht="19.149999999999999" customHeight="1" x14ac:dyDescent="0.25">
      <c r="A30" s="612"/>
      <c r="B30" s="606" t="s">
        <v>359</v>
      </c>
      <c r="C30" s="600" t="s">
        <v>507</v>
      </c>
      <c r="D30" s="600" t="s">
        <v>445</v>
      </c>
      <c r="E30" s="600" t="s">
        <v>538</v>
      </c>
      <c r="F30" s="601">
        <v>176437</v>
      </c>
      <c r="G30" s="577"/>
    </row>
    <row r="31" spans="1:7" ht="19.149999999999999" customHeight="1" x14ac:dyDescent="0.25">
      <c r="A31" s="612"/>
      <c r="B31" s="608" t="s">
        <v>359</v>
      </c>
      <c r="C31" s="602" t="s">
        <v>507</v>
      </c>
      <c r="D31" s="602" t="s">
        <v>445</v>
      </c>
      <c r="E31" s="602" t="s">
        <v>464</v>
      </c>
      <c r="F31" s="603">
        <v>25718.3</v>
      </c>
      <c r="G31" s="577"/>
    </row>
    <row r="32" spans="1:7" ht="19.149999999999999" customHeight="1" x14ac:dyDescent="0.25">
      <c r="A32" s="612"/>
      <c r="B32" s="608" t="s">
        <v>359</v>
      </c>
      <c r="C32" s="602" t="s">
        <v>507</v>
      </c>
      <c r="D32" s="602" t="s">
        <v>445</v>
      </c>
      <c r="E32" s="602" t="s">
        <v>358</v>
      </c>
      <c r="F32" s="603">
        <v>38722.5</v>
      </c>
      <c r="G32" s="577"/>
    </row>
    <row r="33" spans="1:8" ht="19.149999999999999" customHeight="1" x14ac:dyDescent="0.25">
      <c r="A33" s="612"/>
      <c r="B33" s="609" t="s">
        <v>359</v>
      </c>
      <c r="C33" s="598" t="s">
        <v>507</v>
      </c>
      <c r="D33" s="598" t="s">
        <v>445</v>
      </c>
      <c r="E33" s="595"/>
      <c r="F33" s="596">
        <f>SUM(F22:F32)</f>
        <v>1744800</v>
      </c>
      <c r="G33" s="577"/>
    </row>
    <row r="34" spans="1:8" ht="20.45" customHeight="1" x14ac:dyDescent="0.25">
      <c r="A34" s="611" t="s">
        <v>477</v>
      </c>
      <c r="B34" s="598" t="s">
        <v>359</v>
      </c>
      <c r="C34" s="598" t="s">
        <v>507</v>
      </c>
      <c r="D34" s="429"/>
      <c r="E34" s="429"/>
      <c r="F34" s="597">
        <f>F21+F33</f>
        <v>3649100</v>
      </c>
      <c r="G34" s="577"/>
    </row>
    <row r="35" spans="1:8" ht="20.45" customHeight="1" x14ac:dyDescent="0.25">
      <c r="A35" s="440" t="s">
        <v>8</v>
      </c>
      <c r="B35" s="602" t="s">
        <v>356</v>
      </c>
      <c r="C35" s="602" t="s">
        <v>508</v>
      </c>
      <c r="D35" s="602" t="s">
        <v>444</v>
      </c>
      <c r="E35" s="602" t="s">
        <v>448</v>
      </c>
      <c r="F35" s="603">
        <v>-1179300</v>
      </c>
      <c r="G35" s="577"/>
    </row>
    <row r="36" spans="1:8" ht="20.45" customHeight="1" x14ac:dyDescent="0.25">
      <c r="A36" s="67"/>
      <c r="B36" s="602" t="s">
        <v>356</v>
      </c>
      <c r="C36" s="602" t="s">
        <v>508</v>
      </c>
      <c r="D36" s="602" t="s">
        <v>444</v>
      </c>
      <c r="E36" s="602" t="s">
        <v>464</v>
      </c>
      <c r="F36" s="603">
        <v>-2417</v>
      </c>
      <c r="G36" s="578"/>
    </row>
    <row r="37" spans="1:8" ht="20.45" customHeight="1" x14ac:dyDescent="0.25">
      <c r="A37" s="67"/>
      <c r="B37" s="602" t="s">
        <v>356</v>
      </c>
      <c r="C37" s="602" t="s">
        <v>508</v>
      </c>
      <c r="D37" s="602" t="s">
        <v>444</v>
      </c>
      <c r="E37" s="602" t="s">
        <v>358</v>
      </c>
      <c r="F37" s="603">
        <v>-2283</v>
      </c>
      <c r="G37" s="578"/>
    </row>
    <row r="38" spans="1:8" ht="20.45" customHeight="1" x14ac:dyDescent="0.25">
      <c r="A38" s="67" t="s">
        <v>478</v>
      </c>
      <c r="B38" s="605" t="s">
        <v>356</v>
      </c>
      <c r="C38" s="605" t="s">
        <v>508</v>
      </c>
      <c r="D38" s="605" t="s">
        <v>444</v>
      </c>
      <c r="E38" s="567"/>
      <c r="F38" s="570">
        <f>F35+F36+F37</f>
        <v>-1184000</v>
      </c>
      <c r="G38" s="578"/>
    </row>
    <row r="39" spans="1:8" ht="18" customHeight="1" x14ac:dyDescent="0.25">
      <c r="A39" s="566" t="s">
        <v>206</v>
      </c>
      <c r="B39" s="579" t="s">
        <v>502</v>
      </c>
      <c r="C39" s="567" t="s">
        <v>503</v>
      </c>
      <c r="D39" s="567" t="s">
        <v>504</v>
      </c>
      <c r="E39" s="567" t="s">
        <v>505</v>
      </c>
      <c r="F39" s="568">
        <v>-327920.37</v>
      </c>
      <c r="G39" s="580" t="s">
        <v>377</v>
      </c>
    </row>
    <row r="40" spans="1:8" ht="18" customHeight="1" x14ac:dyDescent="0.25">
      <c r="A40" s="439" t="s">
        <v>205</v>
      </c>
      <c r="B40" s="283" t="s">
        <v>498</v>
      </c>
      <c r="C40" s="426" t="s">
        <v>499</v>
      </c>
      <c r="D40" s="283" t="s">
        <v>500</v>
      </c>
      <c r="E40" s="283" t="s">
        <v>501</v>
      </c>
      <c r="F40" s="468">
        <v>-2111000</v>
      </c>
      <c r="G40" s="313" t="s">
        <v>377</v>
      </c>
    </row>
    <row r="41" spans="1:8" ht="18" customHeight="1" x14ac:dyDescent="0.25">
      <c r="A41" s="439" t="s">
        <v>207</v>
      </c>
      <c r="B41" s="283" t="s">
        <v>498</v>
      </c>
      <c r="C41" s="426" t="s">
        <v>506</v>
      </c>
      <c r="D41" s="283" t="s">
        <v>500</v>
      </c>
      <c r="E41" s="283" t="s">
        <v>501</v>
      </c>
      <c r="F41" s="428">
        <v>18300</v>
      </c>
      <c r="G41" s="313" t="s">
        <v>377</v>
      </c>
    </row>
    <row r="42" spans="1:8" ht="14.45" customHeight="1" x14ac:dyDescent="0.25">
      <c r="A42" s="501"/>
      <c r="B42" s="502"/>
      <c r="C42" s="503"/>
      <c r="D42" s="502"/>
      <c r="E42" s="506"/>
      <c r="F42" s="507"/>
      <c r="G42" s="532"/>
    </row>
    <row r="43" spans="1:8" x14ac:dyDescent="0.25">
      <c r="A43" s="509" t="s">
        <v>460</v>
      </c>
      <c r="B43" s="510"/>
      <c r="C43" s="511"/>
      <c r="D43" s="512"/>
      <c r="E43" s="512"/>
      <c r="F43" s="458">
        <f>F41+F40+F39+F38+F34</f>
        <v>44479.629999999888</v>
      </c>
      <c r="G43" s="513"/>
      <c r="H43" s="282"/>
    </row>
    <row r="44" spans="1:8" x14ac:dyDescent="0.25">
      <c r="A44" s="440" t="s">
        <v>449</v>
      </c>
      <c r="B44" s="1685" t="s">
        <v>450</v>
      </c>
      <c r="C44" s="1686"/>
      <c r="D44" s="1686"/>
      <c r="E44" s="1686"/>
      <c r="F44" s="1686"/>
      <c r="G44" s="1687"/>
      <c r="H44" s="282"/>
    </row>
    <row r="45" spans="1:8" x14ac:dyDescent="0.25">
      <c r="A45" s="610" t="s">
        <v>189</v>
      </c>
      <c r="B45" s="283" t="s">
        <v>356</v>
      </c>
      <c r="C45" s="572" t="s">
        <v>509</v>
      </c>
      <c r="D45" s="572" t="s">
        <v>357</v>
      </c>
      <c r="E45" s="572" t="s">
        <v>510</v>
      </c>
      <c r="F45" s="456">
        <v>-10556.25</v>
      </c>
      <c r="G45" s="442" t="s">
        <v>305</v>
      </c>
      <c r="H45" s="282"/>
    </row>
    <row r="46" spans="1:8" x14ac:dyDescent="0.25">
      <c r="A46" s="613"/>
      <c r="B46" s="614" t="s">
        <v>356</v>
      </c>
      <c r="C46" s="572" t="s">
        <v>509</v>
      </c>
      <c r="D46" s="572" t="s">
        <v>357</v>
      </c>
      <c r="E46" s="572" t="s">
        <v>511</v>
      </c>
      <c r="F46" s="456">
        <v>144731.29</v>
      </c>
      <c r="G46" s="442" t="s">
        <v>24</v>
      </c>
      <c r="H46" s="282"/>
    </row>
    <row r="47" spans="1:8" x14ac:dyDescent="0.25">
      <c r="A47" s="613"/>
      <c r="B47" s="615" t="s">
        <v>356</v>
      </c>
      <c r="C47" s="574" t="s">
        <v>509</v>
      </c>
      <c r="D47" s="574" t="s">
        <v>357</v>
      </c>
      <c r="E47" s="572"/>
      <c r="F47" s="575">
        <f>F45+F46</f>
        <v>134175.04000000001</v>
      </c>
      <c r="G47" s="442"/>
      <c r="H47" s="282"/>
    </row>
    <row r="48" spans="1:8" x14ac:dyDescent="0.25">
      <c r="A48" s="613"/>
      <c r="B48" s="614" t="s">
        <v>359</v>
      </c>
      <c r="C48" s="572" t="s">
        <v>509</v>
      </c>
      <c r="D48" s="572" t="s">
        <v>357</v>
      </c>
      <c r="E48" s="572" t="s">
        <v>512</v>
      </c>
      <c r="F48" s="456">
        <v>-142057.28</v>
      </c>
      <c r="G48" s="1678" t="s">
        <v>284</v>
      </c>
      <c r="H48" s="282"/>
    </row>
    <row r="49" spans="1:8" x14ac:dyDescent="0.25">
      <c r="A49" s="613"/>
      <c r="B49" s="614" t="s">
        <v>359</v>
      </c>
      <c r="C49" s="572" t="s">
        <v>509</v>
      </c>
      <c r="D49" s="572" t="s">
        <v>357</v>
      </c>
      <c r="E49" s="572" t="s">
        <v>513</v>
      </c>
      <c r="F49" s="456">
        <v>-44605.760000000002</v>
      </c>
      <c r="G49" s="1679"/>
      <c r="H49" s="282"/>
    </row>
    <row r="50" spans="1:8" x14ac:dyDescent="0.25">
      <c r="A50" s="613"/>
      <c r="B50" s="615" t="s">
        <v>359</v>
      </c>
      <c r="C50" s="574" t="s">
        <v>509</v>
      </c>
      <c r="D50" s="574" t="s">
        <v>357</v>
      </c>
      <c r="E50" s="572"/>
      <c r="F50" s="431">
        <f>F48+F49</f>
        <v>-186663.04000000001</v>
      </c>
      <c r="G50" s="541"/>
      <c r="H50" s="282"/>
    </row>
    <row r="51" spans="1:8" x14ac:dyDescent="0.25">
      <c r="A51" s="613"/>
      <c r="B51" s="614" t="s">
        <v>359</v>
      </c>
      <c r="C51" s="572" t="s">
        <v>509</v>
      </c>
      <c r="D51" s="572" t="s">
        <v>360</v>
      </c>
      <c r="E51" s="572" t="s">
        <v>511</v>
      </c>
      <c r="F51" s="456">
        <v>465000</v>
      </c>
      <c r="G51" s="582" t="s">
        <v>93</v>
      </c>
      <c r="H51" s="282"/>
    </row>
    <row r="52" spans="1:8" x14ac:dyDescent="0.25">
      <c r="A52" s="613"/>
      <c r="B52" s="615" t="s">
        <v>359</v>
      </c>
      <c r="C52" s="574" t="s">
        <v>509</v>
      </c>
      <c r="D52" s="574" t="s">
        <v>360</v>
      </c>
      <c r="E52" s="572"/>
      <c r="F52" s="431">
        <f>F51</f>
        <v>465000</v>
      </c>
      <c r="G52" s="541"/>
      <c r="H52" s="282"/>
    </row>
    <row r="53" spans="1:8" x14ac:dyDescent="0.25">
      <c r="A53" s="613"/>
      <c r="B53" s="615" t="s">
        <v>359</v>
      </c>
      <c r="C53" s="574" t="s">
        <v>509</v>
      </c>
      <c r="D53" s="574"/>
      <c r="E53" s="572"/>
      <c r="F53" s="575">
        <f>F52+F50</f>
        <v>278336.95999999996</v>
      </c>
      <c r="G53" s="541"/>
      <c r="H53" s="282"/>
    </row>
    <row r="54" spans="1:8" x14ac:dyDescent="0.25">
      <c r="A54" s="617" t="s">
        <v>520</v>
      </c>
      <c r="B54" s="320"/>
      <c r="C54" s="574"/>
      <c r="D54" s="574"/>
      <c r="E54" s="572"/>
      <c r="F54" s="575">
        <f>F53+F47</f>
        <v>412512</v>
      </c>
      <c r="G54" s="541"/>
      <c r="H54" s="282"/>
    </row>
    <row r="55" spans="1:8" x14ac:dyDescent="0.25">
      <c r="A55" s="612" t="s">
        <v>166</v>
      </c>
      <c r="B55" s="614" t="s">
        <v>359</v>
      </c>
      <c r="C55" s="572" t="s">
        <v>514</v>
      </c>
      <c r="D55" s="572" t="s">
        <v>444</v>
      </c>
      <c r="E55" s="572" t="s">
        <v>515</v>
      </c>
      <c r="F55" s="456">
        <v>428300</v>
      </c>
      <c r="G55" s="541"/>
      <c r="H55" s="282"/>
    </row>
    <row r="56" spans="1:8" x14ac:dyDescent="0.25">
      <c r="A56" s="616"/>
      <c r="B56" s="614" t="s">
        <v>359</v>
      </c>
      <c r="C56" s="572" t="s">
        <v>514</v>
      </c>
      <c r="D56" s="572" t="s">
        <v>445</v>
      </c>
      <c r="E56" s="572" t="s">
        <v>515</v>
      </c>
      <c r="F56" s="456">
        <v>-414600</v>
      </c>
      <c r="G56" s="541"/>
      <c r="H56" s="282"/>
    </row>
    <row r="57" spans="1:8" x14ac:dyDescent="0.25">
      <c r="A57" s="613"/>
      <c r="B57" s="615" t="s">
        <v>359</v>
      </c>
      <c r="C57" s="574" t="s">
        <v>514</v>
      </c>
      <c r="D57" s="572"/>
      <c r="E57" s="572"/>
      <c r="F57" s="575">
        <f>F55+F56</f>
        <v>13700</v>
      </c>
      <c r="G57" s="541"/>
      <c r="H57" s="282"/>
    </row>
    <row r="58" spans="1:8" x14ac:dyDescent="0.25">
      <c r="A58" s="611" t="s">
        <v>247</v>
      </c>
      <c r="B58" s="283" t="s">
        <v>359</v>
      </c>
      <c r="C58" s="572" t="s">
        <v>516</v>
      </c>
      <c r="D58" s="572" t="s">
        <v>444</v>
      </c>
      <c r="E58" s="572" t="s">
        <v>515</v>
      </c>
      <c r="F58" s="456">
        <v>6000</v>
      </c>
      <c r="G58" s="541"/>
      <c r="H58" s="282"/>
    </row>
    <row r="59" spans="1:8" x14ac:dyDescent="0.25">
      <c r="A59" s="571"/>
      <c r="B59" s="320" t="s">
        <v>359</v>
      </c>
      <c r="C59" s="574" t="s">
        <v>516</v>
      </c>
      <c r="D59" s="572"/>
      <c r="E59" s="572"/>
      <c r="F59" s="575">
        <v>6000</v>
      </c>
      <c r="G59" s="541"/>
      <c r="H59" s="282"/>
    </row>
    <row r="60" spans="1:8" x14ac:dyDescent="0.25">
      <c r="A60" s="571"/>
      <c r="B60" s="283"/>
      <c r="C60" s="429"/>
      <c r="D60" s="429"/>
      <c r="E60" s="429"/>
      <c r="F60" s="569"/>
      <c r="G60" s="313"/>
      <c r="H60" s="282"/>
    </row>
    <row r="61" spans="1:8" x14ac:dyDescent="0.25">
      <c r="A61" s="509" t="s">
        <v>458</v>
      </c>
      <c r="B61" s="514"/>
      <c r="C61" s="515"/>
      <c r="D61" s="515"/>
      <c r="E61" s="515"/>
      <c r="F61" s="458">
        <f>F47+F50+F51+F57+F59</f>
        <v>432212</v>
      </c>
      <c r="G61" s="516"/>
      <c r="H61" s="282"/>
    </row>
    <row r="62" spans="1:8" ht="25.9" customHeight="1" x14ac:dyDescent="0.25">
      <c r="A62" s="440" t="s">
        <v>517</v>
      </c>
      <c r="B62" s="1688" t="s">
        <v>451</v>
      </c>
      <c r="C62" s="1689"/>
      <c r="D62" s="1689"/>
      <c r="E62" s="1689"/>
      <c r="F62" s="1689"/>
      <c r="G62" s="1690"/>
      <c r="H62" s="282"/>
    </row>
    <row r="63" spans="1:8" ht="18" customHeight="1" x14ac:dyDescent="0.25">
      <c r="A63" s="440" t="s">
        <v>185</v>
      </c>
      <c r="B63" s="590" t="s">
        <v>498</v>
      </c>
      <c r="C63" s="591" t="s">
        <v>518</v>
      </c>
      <c r="D63" s="592">
        <v>313</v>
      </c>
      <c r="E63" s="592">
        <v>26200</v>
      </c>
      <c r="F63" s="593">
        <v>-2387600</v>
      </c>
      <c r="G63" s="495" t="s">
        <v>377</v>
      </c>
      <c r="H63" s="282"/>
    </row>
    <row r="64" spans="1:8" ht="14.45" customHeight="1" x14ac:dyDescent="0.25">
      <c r="A64" s="440" t="s">
        <v>190</v>
      </c>
      <c r="B64" s="398" t="s">
        <v>498</v>
      </c>
      <c r="C64" s="474" t="s">
        <v>519</v>
      </c>
      <c r="D64" s="475">
        <v>323</v>
      </c>
      <c r="E64" s="475">
        <v>22699</v>
      </c>
      <c r="F64" s="476">
        <v>200</v>
      </c>
      <c r="G64" s="496" t="s">
        <v>377</v>
      </c>
      <c r="H64" s="282"/>
    </row>
    <row r="65" spans="1:8" x14ac:dyDescent="0.25">
      <c r="A65" s="509" t="s">
        <v>459</v>
      </c>
      <c r="B65" s="517"/>
      <c r="C65" s="517"/>
      <c r="D65" s="517"/>
      <c r="E65" s="517"/>
      <c r="F65" s="458">
        <f>F63+F64</f>
        <v>-2387400</v>
      </c>
      <c r="G65" s="518"/>
      <c r="H65" s="282"/>
    </row>
    <row r="66" spans="1:8" ht="15.75" thickBot="1" x14ac:dyDescent="0.3">
      <c r="A66" s="447"/>
      <c r="B66" s="435"/>
      <c r="C66" s="436" t="s">
        <v>145</v>
      </c>
      <c r="D66" s="435"/>
      <c r="E66" s="436"/>
      <c r="F66" s="437">
        <f>F65+F61+F43</f>
        <v>-1910708.37</v>
      </c>
      <c r="G66" s="487"/>
      <c r="H66" s="282"/>
    </row>
    <row r="67" spans="1:8" x14ac:dyDescent="0.25">
      <c r="B67" s="282"/>
      <c r="C67" s="282"/>
      <c r="D67" s="282"/>
      <c r="E67" s="282"/>
      <c r="F67" s="282"/>
      <c r="G67" s="282"/>
    </row>
    <row r="68" spans="1:8" x14ac:dyDescent="0.25">
      <c r="A68" s="282" t="s">
        <v>378</v>
      </c>
      <c r="B68" s="282"/>
      <c r="C68" s="282"/>
      <c r="D68" s="282"/>
      <c r="E68" s="282"/>
      <c r="F68" s="282"/>
      <c r="G68" s="282"/>
    </row>
    <row r="69" spans="1:8" x14ac:dyDescent="0.25">
      <c r="A69" s="282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16"/>
  <sheetViews>
    <sheetView zoomScaleNormal="10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W18" sqref="W18"/>
    </sheetView>
  </sheetViews>
  <sheetFormatPr defaultColWidth="8.85546875" defaultRowHeight="15" x14ac:dyDescent="0.25"/>
  <cols>
    <col min="1" max="1" width="6.42578125" style="290" customWidth="1"/>
    <col min="2" max="2" width="33.5703125" style="30" customWidth="1"/>
    <col min="3" max="3" width="11" style="30" customWidth="1"/>
    <col min="4" max="4" width="1.5703125" style="30" hidden="1" customWidth="1"/>
    <col min="5" max="5" width="9" style="30" customWidth="1"/>
    <col min="6" max="6" width="4.7109375" style="30" customWidth="1"/>
    <col min="7" max="7" width="9.140625" style="30" customWidth="1"/>
    <col min="8" max="8" width="11.85546875" style="30" customWidth="1"/>
    <col min="9" max="9" width="4.85546875" style="30" customWidth="1"/>
    <col min="10" max="10" width="3.42578125" style="30" customWidth="1"/>
    <col min="11" max="11" width="4.28515625" style="30" customWidth="1"/>
    <col min="12" max="12" width="3.28515625" style="30" customWidth="1"/>
    <col min="13" max="13" width="5.42578125" style="30" customWidth="1"/>
    <col min="14" max="14" width="3.42578125" style="30" customWidth="1"/>
    <col min="15" max="16" width="4.140625" style="30" customWidth="1"/>
    <col min="17" max="17" width="5.42578125" style="30" customWidth="1"/>
    <col min="18" max="18" width="3.7109375" style="30" customWidth="1"/>
    <col min="19" max="19" width="4" style="30" customWidth="1"/>
    <col min="20" max="20" width="3.85546875" style="30" customWidth="1"/>
    <col min="21" max="21" width="5.140625" style="30" customWidth="1"/>
    <col min="22" max="22" width="3.5703125" style="30" customWidth="1"/>
    <col min="23" max="23" width="4.140625" style="30" customWidth="1"/>
    <col min="24" max="24" width="3.7109375" style="30" customWidth="1"/>
    <col min="25" max="25" width="8.85546875" style="30" customWidth="1"/>
    <col min="26" max="26" width="3.7109375" style="30" customWidth="1"/>
    <col min="27" max="27" width="5.28515625" style="30" customWidth="1"/>
    <col min="28" max="28" width="7" style="30" customWidth="1"/>
    <col min="29" max="29" width="9" style="30" customWidth="1"/>
    <col min="30" max="30" width="5.28515625" style="30" customWidth="1"/>
    <col min="31" max="31" width="6.140625" style="30" customWidth="1"/>
    <col min="32" max="32" width="8.7109375" style="30" bestFit="1" customWidth="1"/>
    <col min="33" max="33" width="8.140625" style="30" customWidth="1"/>
    <col min="34" max="34" width="6.28515625" style="30" customWidth="1"/>
    <col min="35" max="35" width="7.5703125" style="30" customWidth="1"/>
    <col min="36" max="36" width="8.85546875" style="30"/>
    <col min="37" max="37" width="10.7109375" style="30" customWidth="1"/>
    <col min="38" max="38" width="5.28515625" style="30" customWidth="1"/>
    <col min="39" max="39" width="4.42578125" style="30" customWidth="1"/>
    <col min="40" max="40" width="9.5703125" style="30" bestFit="1" customWidth="1"/>
    <col min="41" max="41" width="8.85546875" style="30" customWidth="1"/>
    <col min="42" max="42" width="5.5703125" style="30" customWidth="1"/>
    <col min="43" max="43" width="5.42578125" style="30" customWidth="1"/>
    <col min="44" max="44" width="10" style="30" customWidth="1"/>
    <col min="45" max="16384" width="8.85546875" style="30"/>
  </cols>
  <sheetData>
    <row r="1" spans="1:44" x14ac:dyDescent="0.25">
      <c r="H1" s="1648" t="s">
        <v>625</v>
      </c>
      <c r="I1" s="1620"/>
      <c r="J1" s="1620"/>
      <c r="K1" s="1620"/>
      <c r="L1" s="1620"/>
      <c r="M1" s="1620"/>
      <c r="N1" s="1620"/>
      <c r="O1" s="1620"/>
      <c r="P1" s="1620"/>
      <c r="Q1" s="1620"/>
      <c r="R1" s="1620"/>
      <c r="S1" s="1620"/>
      <c r="T1" s="1620"/>
      <c r="U1" s="1620"/>
      <c r="V1" s="1620"/>
      <c r="W1" s="1620"/>
      <c r="X1" s="1620"/>
      <c r="Y1" s="1620"/>
      <c r="Z1" s="1620"/>
      <c r="AA1" s="1620"/>
      <c r="AB1" s="1620"/>
      <c r="AC1" s="1620"/>
      <c r="AD1" s="1620"/>
      <c r="AE1" s="1620"/>
      <c r="AF1" s="1620"/>
      <c r="AG1" s="1620"/>
      <c r="AH1" s="1620"/>
      <c r="AI1" s="1620"/>
      <c r="AJ1" s="1620"/>
    </row>
    <row r="3" spans="1:44" ht="18.75" x14ac:dyDescent="0.3">
      <c r="B3" s="1661" t="s">
        <v>687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  <c r="U3" s="1662"/>
      <c r="V3" s="1620"/>
      <c r="W3" s="1620"/>
      <c r="X3" s="1620"/>
      <c r="Y3" s="1620"/>
    </row>
    <row r="4" spans="1:44" ht="20.25" x14ac:dyDescent="0.3">
      <c r="B4" s="355"/>
      <c r="C4" s="356"/>
      <c r="D4" s="357" t="s">
        <v>412</v>
      </c>
      <c r="E4" s="358"/>
      <c r="F4" s="358"/>
      <c r="G4" s="358"/>
      <c r="H4" s="358"/>
      <c r="I4" s="358"/>
      <c r="J4" s="358"/>
      <c r="K4" s="358"/>
      <c r="L4" s="359"/>
      <c r="M4" s="282"/>
      <c r="N4" s="282"/>
    </row>
    <row r="5" spans="1:44" ht="30" customHeight="1" x14ac:dyDescent="0.25">
      <c r="A5" s="906"/>
      <c r="B5" s="325" t="s">
        <v>0</v>
      </c>
      <c r="C5" s="72" t="s">
        <v>15</v>
      </c>
      <c r="D5" s="294"/>
      <c r="E5" s="1641" t="s">
        <v>156</v>
      </c>
      <c r="F5" s="1642"/>
      <c r="G5" s="1642"/>
      <c r="H5" s="1643"/>
      <c r="I5" s="1653">
        <v>2014</v>
      </c>
      <c r="J5" s="1654"/>
      <c r="K5" s="1654"/>
      <c r="L5" s="1655"/>
      <c r="M5" s="1584">
        <v>2015</v>
      </c>
      <c r="N5" s="1584"/>
      <c r="O5" s="1584"/>
      <c r="P5" s="1584"/>
      <c r="Q5" s="1584">
        <v>2016</v>
      </c>
      <c r="R5" s="1584"/>
      <c r="S5" s="1584"/>
      <c r="T5" s="1584"/>
      <c r="U5" s="1584">
        <v>2017</v>
      </c>
      <c r="V5" s="1584"/>
      <c r="W5" s="1584"/>
      <c r="X5" s="1584"/>
      <c r="Y5" s="1650">
        <v>2018</v>
      </c>
      <c r="Z5" s="1650"/>
      <c r="AA5" s="1650"/>
      <c r="AB5" s="1650"/>
      <c r="AC5" s="1650">
        <v>2019</v>
      </c>
      <c r="AD5" s="1650"/>
      <c r="AE5" s="1650"/>
      <c r="AF5" s="1650"/>
      <c r="AG5" s="1650">
        <v>2020</v>
      </c>
      <c r="AH5" s="1650"/>
      <c r="AI5" s="1650"/>
      <c r="AJ5" s="1650"/>
      <c r="AK5" s="1641">
        <v>2021</v>
      </c>
      <c r="AL5" s="1642"/>
      <c r="AM5" s="1642"/>
      <c r="AN5" s="1643"/>
      <c r="AO5" s="1641">
        <v>2022</v>
      </c>
      <c r="AP5" s="1642"/>
      <c r="AQ5" s="1642"/>
      <c r="AR5" s="1643"/>
    </row>
    <row r="6" spans="1:44" ht="51.75" x14ac:dyDescent="0.25">
      <c r="A6" s="360"/>
      <c r="B6" s="296" t="s">
        <v>626</v>
      </c>
      <c r="C6" s="326"/>
      <c r="D6" s="326"/>
      <c r="E6" s="298" t="s">
        <v>145</v>
      </c>
      <c r="F6" s="299" t="s">
        <v>4</v>
      </c>
      <c r="G6" s="300" t="s">
        <v>3</v>
      </c>
      <c r="H6" s="301" t="s">
        <v>5</v>
      </c>
      <c r="I6" s="833" t="s">
        <v>145</v>
      </c>
      <c r="J6" s="834" t="s">
        <v>4</v>
      </c>
      <c r="K6" s="834" t="s">
        <v>3</v>
      </c>
      <c r="L6" s="835" t="s">
        <v>5</v>
      </c>
      <c r="M6" s="835" t="s">
        <v>145</v>
      </c>
      <c r="N6" s="835" t="s">
        <v>4</v>
      </c>
      <c r="O6" s="835" t="s">
        <v>3</v>
      </c>
      <c r="P6" s="835" t="s">
        <v>5</v>
      </c>
      <c r="Q6" s="835" t="s">
        <v>145</v>
      </c>
      <c r="R6" s="835" t="s">
        <v>4</v>
      </c>
      <c r="S6" s="835" t="s">
        <v>3</v>
      </c>
      <c r="T6" s="835" t="s">
        <v>5</v>
      </c>
      <c r="U6" s="835" t="s">
        <v>145</v>
      </c>
      <c r="V6" s="835" t="s">
        <v>4</v>
      </c>
      <c r="W6" s="835" t="s">
        <v>3</v>
      </c>
      <c r="X6" s="835" t="s">
        <v>5</v>
      </c>
      <c r="Y6" s="835" t="s">
        <v>145</v>
      </c>
      <c r="Z6" s="835" t="s">
        <v>4</v>
      </c>
      <c r="AA6" s="835" t="s">
        <v>3</v>
      </c>
      <c r="AB6" s="835" t="s">
        <v>5</v>
      </c>
      <c r="AC6" s="302" t="s">
        <v>145</v>
      </c>
      <c r="AD6" s="302" t="s">
        <v>4</v>
      </c>
      <c r="AE6" s="302" t="s">
        <v>3</v>
      </c>
      <c r="AF6" s="302" t="s">
        <v>5</v>
      </c>
      <c r="AG6" s="302" t="s">
        <v>145</v>
      </c>
      <c r="AH6" s="302" t="s">
        <v>4</v>
      </c>
      <c r="AI6" s="302" t="s">
        <v>3</v>
      </c>
      <c r="AJ6" s="302" t="s">
        <v>5</v>
      </c>
      <c r="AK6" s="302" t="s">
        <v>145</v>
      </c>
      <c r="AL6" s="302" t="s">
        <v>4</v>
      </c>
      <c r="AM6" s="302" t="s">
        <v>3</v>
      </c>
      <c r="AN6" s="302" t="s">
        <v>5</v>
      </c>
      <c r="AO6" s="302" t="s">
        <v>145</v>
      </c>
      <c r="AP6" s="302" t="s">
        <v>4</v>
      </c>
      <c r="AQ6" s="302" t="s">
        <v>3</v>
      </c>
      <c r="AR6" s="302" t="s">
        <v>5</v>
      </c>
    </row>
    <row r="7" spans="1:44" ht="15.75" x14ac:dyDescent="0.25">
      <c r="A7" s="360"/>
      <c r="B7" s="326"/>
      <c r="C7" s="326"/>
      <c r="D7" s="326"/>
      <c r="E7" s="626">
        <f>F7+G7+H7</f>
        <v>66636.632930000007</v>
      </c>
      <c r="F7" s="626">
        <f>J7+N7+R7+V7+Z7+AD7+AH7+AL7+AP7</f>
        <v>0</v>
      </c>
      <c r="G7" s="626">
        <f>K7+O7+S7+W7+AA7+AE7+AI7+AM7+AQ7</f>
        <v>1865.2849999999999</v>
      </c>
      <c r="H7" s="626">
        <f>L7+P7+T7+X7+AB7+AF7+AJ7+AN7+AR7</f>
        <v>64771.347930000004</v>
      </c>
      <c r="I7" s="788">
        <f>J7+K7+L7</f>
        <v>0</v>
      </c>
      <c r="J7" s="1157">
        <f t="shared" ref="J7:L8" si="0">J8</f>
        <v>0</v>
      </c>
      <c r="K7" s="1157">
        <f t="shared" si="0"/>
        <v>0</v>
      </c>
      <c r="L7" s="1157">
        <f t="shared" si="0"/>
        <v>0</v>
      </c>
      <c r="M7" s="788">
        <f>N7+O7+P7</f>
        <v>0</v>
      </c>
      <c r="N7" s="1158">
        <f t="shared" ref="N7:P8" si="1">N8</f>
        <v>0</v>
      </c>
      <c r="O7" s="1158">
        <f t="shared" si="1"/>
        <v>0</v>
      </c>
      <c r="P7" s="1158">
        <f t="shared" si="1"/>
        <v>0</v>
      </c>
      <c r="Q7" s="788">
        <f>R7+S7+T7</f>
        <v>0</v>
      </c>
      <c r="R7" s="1158">
        <f t="shared" ref="R7:T8" si="2">R8</f>
        <v>0</v>
      </c>
      <c r="S7" s="1158">
        <f t="shared" si="2"/>
        <v>0</v>
      </c>
      <c r="T7" s="1158">
        <f t="shared" si="2"/>
        <v>0</v>
      </c>
      <c r="U7" s="788">
        <f>V7+W7+X7</f>
        <v>0</v>
      </c>
      <c r="V7" s="1158">
        <f t="shared" ref="V7:X8" si="3">V8</f>
        <v>0</v>
      </c>
      <c r="W7" s="1158">
        <f t="shared" si="3"/>
        <v>0</v>
      </c>
      <c r="X7" s="1158">
        <f t="shared" si="3"/>
        <v>0</v>
      </c>
      <c r="Y7" s="788">
        <f>Z7+AA7+AB7</f>
        <v>12543.61526</v>
      </c>
      <c r="Z7" s="1158">
        <f t="shared" ref="Z7:AB8" si="4">Z8</f>
        <v>0</v>
      </c>
      <c r="AA7" s="1158">
        <f t="shared" si="4"/>
        <v>750.1</v>
      </c>
      <c r="AB7" s="1158">
        <f t="shared" si="4"/>
        <v>11793.51526</v>
      </c>
      <c r="AC7" s="626">
        <f>AD7+AE7+AF7</f>
        <v>13237.277669999999</v>
      </c>
      <c r="AD7" s="385">
        <f t="shared" ref="AD7:AF8" si="5">AD8</f>
        <v>0</v>
      </c>
      <c r="AE7" s="385">
        <f t="shared" si="5"/>
        <v>0</v>
      </c>
      <c r="AF7" s="385">
        <f t="shared" si="5"/>
        <v>13237.277669999999</v>
      </c>
      <c r="AG7" s="907">
        <f>AH7+AI7+AJ7</f>
        <v>14462.09</v>
      </c>
      <c r="AH7" s="385">
        <f>AH8</f>
        <v>0</v>
      </c>
      <c r="AI7" s="1446">
        <f>AI8</f>
        <v>1115.1849999999999</v>
      </c>
      <c r="AJ7" s="1446">
        <f>AJ8</f>
        <v>13346.905000000001</v>
      </c>
      <c r="AK7" s="667">
        <f>AL7+AM7+AN7</f>
        <v>13191.305</v>
      </c>
      <c r="AL7" s="361">
        <f>AL8</f>
        <v>0</v>
      </c>
      <c r="AM7" s="361">
        <f>AM8</f>
        <v>0</v>
      </c>
      <c r="AN7" s="828">
        <f>AN8</f>
        <v>13191.305</v>
      </c>
      <c r="AO7" s="1447">
        <f>AP7+AQ7+AR7</f>
        <v>13202.344999999999</v>
      </c>
      <c r="AP7" s="907">
        <f>AP8</f>
        <v>0</v>
      </c>
      <c r="AQ7" s="907">
        <f>AQ8</f>
        <v>0</v>
      </c>
      <c r="AR7" s="1448">
        <f>AR8</f>
        <v>13202.344999999999</v>
      </c>
    </row>
    <row r="8" spans="1:44" ht="39" x14ac:dyDescent="0.25">
      <c r="A8" s="688" t="s">
        <v>185</v>
      </c>
      <c r="B8" s="689" t="s">
        <v>627</v>
      </c>
      <c r="C8" s="680"/>
      <c r="D8" s="680"/>
      <c r="E8" s="657">
        <f>F8+G8+H8</f>
        <v>66636.632930000007</v>
      </c>
      <c r="F8" s="657">
        <f>J8+N8+R8+V8+Z8+AD8+AH8</f>
        <v>0</v>
      </c>
      <c r="G8" s="657">
        <f>K8+O8+S8+W8+AA8+AE8+AI8</f>
        <v>1865.2849999999999</v>
      </c>
      <c r="H8" s="657">
        <f>L8+P8+T8+X8+AB8+AF8+AJ8+AN8+AR8</f>
        <v>64771.347930000004</v>
      </c>
      <c r="I8" s="790">
        <f>K8+L8</f>
        <v>0</v>
      </c>
      <c r="J8" s="790">
        <f t="shared" si="0"/>
        <v>0</v>
      </c>
      <c r="K8" s="790">
        <f t="shared" si="0"/>
        <v>0</v>
      </c>
      <c r="L8" s="790">
        <f t="shared" si="0"/>
        <v>0</v>
      </c>
      <c r="M8" s="790">
        <f>O8+P8</f>
        <v>0</v>
      </c>
      <c r="N8" s="790">
        <f t="shared" si="1"/>
        <v>0</v>
      </c>
      <c r="O8" s="790">
        <f t="shared" si="1"/>
        <v>0</v>
      </c>
      <c r="P8" s="790">
        <f t="shared" si="1"/>
        <v>0</v>
      </c>
      <c r="Q8" s="790">
        <f>S8+T8</f>
        <v>0</v>
      </c>
      <c r="R8" s="790">
        <f t="shared" si="2"/>
        <v>0</v>
      </c>
      <c r="S8" s="790">
        <f t="shared" si="2"/>
        <v>0</v>
      </c>
      <c r="T8" s="790">
        <f t="shared" si="2"/>
        <v>0</v>
      </c>
      <c r="U8" s="790">
        <f>W8+X8</f>
        <v>0</v>
      </c>
      <c r="V8" s="1151">
        <f t="shared" si="3"/>
        <v>0</v>
      </c>
      <c r="W8" s="790">
        <f t="shared" si="3"/>
        <v>0</v>
      </c>
      <c r="X8" s="1151">
        <f t="shared" si="3"/>
        <v>0</v>
      </c>
      <c r="Y8" s="790">
        <f>AA8+AB8</f>
        <v>12543.61526</v>
      </c>
      <c r="Z8" s="790">
        <f t="shared" si="4"/>
        <v>0</v>
      </c>
      <c r="AA8" s="790">
        <f t="shared" si="4"/>
        <v>750.1</v>
      </c>
      <c r="AB8" s="790">
        <f t="shared" si="4"/>
        <v>11793.51526</v>
      </c>
      <c r="AC8" s="657">
        <f>AD8+AE8+AF8</f>
        <v>13237.277669999999</v>
      </c>
      <c r="AD8" s="657">
        <f t="shared" si="5"/>
        <v>0</v>
      </c>
      <c r="AE8" s="657">
        <f t="shared" si="5"/>
        <v>0</v>
      </c>
      <c r="AF8" s="657">
        <f t="shared" si="5"/>
        <v>13237.277669999999</v>
      </c>
      <c r="AG8" s="909">
        <f>AH8+AI8+AJ8</f>
        <v>14462.09</v>
      </c>
      <c r="AH8" s="908">
        <f>AH9+AH12</f>
        <v>0</v>
      </c>
      <c r="AI8" s="908">
        <f>AI9+AI12</f>
        <v>1115.1849999999999</v>
      </c>
      <c r="AJ8" s="908">
        <f>AJ9+AJ12</f>
        <v>13346.905000000001</v>
      </c>
      <c r="AK8" s="687">
        <f>AL8+AM8+AN8</f>
        <v>13191.305</v>
      </c>
      <c r="AL8" s="687"/>
      <c r="AM8" s="687"/>
      <c r="AN8" s="908">
        <f>AN9</f>
        <v>13191.305</v>
      </c>
      <c r="AO8" s="1442">
        <f>AP8+AQ8+AR8</f>
        <v>13202.344999999999</v>
      </c>
      <c r="AP8" s="1442"/>
      <c r="AQ8" s="1442"/>
      <c r="AR8" s="657">
        <f>AR9</f>
        <v>13202.344999999999</v>
      </c>
    </row>
    <row r="9" spans="1:44" ht="63.75" x14ac:dyDescent="0.25">
      <c r="A9" s="363" t="s">
        <v>185</v>
      </c>
      <c r="B9" s="14" t="s">
        <v>628</v>
      </c>
      <c r="C9" s="910" t="s">
        <v>640</v>
      </c>
      <c r="D9" s="303"/>
      <c r="E9" s="24">
        <f>G9+H9</f>
        <v>65462.747929999998</v>
      </c>
      <c r="F9" s="24">
        <f>J9+N9+R9+V9+Z9+AD9+AH9+AL9</f>
        <v>0</v>
      </c>
      <c r="G9" s="24">
        <f>K9+O9+S9+W9+AA9+AE9+AI9+AM9</f>
        <v>750.1</v>
      </c>
      <c r="H9" s="911">
        <f>L9+P9+T9+X9+AB9+AF9+AJ9+AN9+AR9</f>
        <v>64712.647929999999</v>
      </c>
      <c r="I9" s="792">
        <f>K9+L9</f>
        <v>0</v>
      </c>
      <c r="J9" s="864">
        <f>J10+J11</f>
        <v>0</v>
      </c>
      <c r="K9" s="864">
        <f>K10+K11</f>
        <v>0</v>
      </c>
      <c r="L9" s="864">
        <f>L10+L11</f>
        <v>0</v>
      </c>
      <c r="M9" s="792">
        <f>O9+P9</f>
        <v>0</v>
      </c>
      <c r="N9" s="792"/>
      <c r="O9" s="1152">
        <f>O10+O11</f>
        <v>0</v>
      </c>
      <c r="P9" s="1152">
        <f>P10+P11</f>
        <v>0</v>
      </c>
      <c r="Q9" s="792">
        <f>S9+T9</f>
        <v>0</v>
      </c>
      <c r="R9" s="1152">
        <f>R10+R11</f>
        <v>0</v>
      </c>
      <c r="S9" s="1152">
        <f>S10+S11</f>
        <v>0</v>
      </c>
      <c r="T9" s="1152">
        <f>T10+T11</f>
        <v>0</v>
      </c>
      <c r="U9" s="792">
        <f>W9+X9</f>
        <v>0</v>
      </c>
      <c r="V9" s="1153">
        <f>V10+V11</f>
        <v>0</v>
      </c>
      <c r="W9" s="1153">
        <f>W10+W11</f>
        <v>0</v>
      </c>
      <c r="X9" s="1153">
        <f>X10+X11</f>
        <v>0</v>
      </c>
      <c r="Y9" s="791">
        <f>AA9+AB9</f>
        <v>12543.61526</v>
      </c>
      <c r="Z9" s="863">
        <f>Z10+Z11</f>
        <v>0</v>
      </c>
      <c r="AA9" s="863">
        <f>AA10+AA11</f>
        <v>750.1</v>
      </c>
      <c r="AB9" s="799">
        <f>AB10+AB11</f>
        <v>11793.51526</v>
      </c>
      <c r="AC9" s="912">
        <f>AD9+AE9+AF9</f>
        <v>13237.277669999999</v>
      </c>
      <c r="AD9" s="905">
        <f>AD10+AD11</f>
        <v>0</v>
      </c>
      <c r="AE9" s="905">
        <f>AE10+AE11</f>
        <v>0</v>
      </c>
      <c r="AF9" s="1451">
        <f>AF10+AF11</f>
        <v>13237.277669999999</v>
      </c>
      <c r="AG9" s="622">
        <f>AH9+AI9+AJ9</f>
        <v>13288.205</v>
      </c>
      <c r="AH9" s="913">
        <f>AH10+AH11</f>
        <v>0</v>
      </c>
      <c r="AI9" s="913">
        <f>AI10+AI11</f>
        <v>0</v>
      </c>
      <c r="AJ9" s="913">
        <f>AJ10+AJ11</f>
        <v>13288.205</v>
      </c>
      <c r="AK9" s="622">
        <f>AL9+AM9+AN9</f>
        <v>13191.305</v>
      </c>
      <c r="AL9" s="622"/>
      <c r="AM9" s="622"/>
      <c r="AN9" s="913">
        <f>AN10+AN11</f>
        <v>13191.305</v>
      </c>
      <c r="AO9" s="622">
        <f>AP9+AQ9+AR9</f>
        <v>13202.344999999999</v>
      </c>
      <c r="AP9" s="622"/>
      <c r="AQ9" s="622"/>
      <c r="AR9" s="622">
        <f>AR10+AR11</f>
        <v>13202.344999999999</v>
      </c>
    </row>
    <row r="10" spans="1:44" s="368" customFormat="1" ht="63.75" x14ac:dyDescent="0.25">
      <c r="A10" s="914" t="s">
        <v>6</v>
      </c>
      <c r="B10" s="915" t="s">
        <v>629</v>
      </c>
      <c r="C10" s="910" t="s">
        <v>640</v>
      </c>
      <c r="D10" s="366"/>
      <c r="E10" s="24">
        <f>G10+H10</f>
        <v>65161.705000000002</v>
      </c>
      <c r="F10" s="24">
        <f>J10+N10+R10+V10+Z10+AD10+AH10+AL10</f>
        <v>0</v>
      </c>
      <c r="G10" s="24">
        <f>K10+O10+S10+W10+AA10+AE10+AI10+AM10</f>
        <v>750.1</v>
      </c>
      <c r="H10" s="911">
        <f>L10+P10+T10+X10+AB10+AF10+AJ10+AN10+AR10</f>
        <v>64411.605000000003</v>
      </c>
      <c r="I10" s="792">
        <f>K10+L10</f>
        <v>0</v>
      </c>
      <c r="J10" s="1154"/>
      <c r="K10" s="1154"/>
      <c r="L10" s="1155"/>
      <c r="M10" s="792">
        <f>O10+P10</f>
        <v>0</v>
      </c>
      <c r="N10" s="1154"/>
      <c r="O10" s="1155"/>
      <c r="P10" s="1155"/>
      <c r="Q10" s="792">
        <f>S10+T10</f>
        <v>0</v>
      </c>
      <c r="R10" s="1154"/>
      <c r="S10" s="1156"/>
      <c r="T10" s="1156"/>
      <c r="U10" s="792">
        <f>W10+X10</f>
        <v>0</v>
      </c>
      <c r="V10" s="1154"/>
      <c r="W10" s="1155"/>
      <c r="X10" s="1155">
        <v>0</v>
      </c>
      <c r="Y10" s="791">
        <f>AA10+AB10</f>
        <v>12451.35</v>
      </c>
      <c r="Z10" s="1155"/>
      <c r="AA10" s="1159">
        <v>750.1</v>
      </c>
      <c r="AB10" s="1159">
        <f>10659.45+57+484.8+500</f>
        <v>11701.25</v>
      </c>
      <c r="AC10" s="912">
        <f>AD10+AE10+AF10</f>
        <v>13138.5</v>
      </c>
      <c r="AD10" s="884"/>
      <c r="AE10" s="884">
        <v>0</v>
      </c>
      <c r="AF10" s="886">
        <f>12972+49.5+2.7+114.3</f>
        <v>13138.5</v>
      </c>
      <c r="AG10" s="622">
        <f>AH10+AI10+AJ10</f>
        <v>13178.205</v>
      </c>
      <c r="AH10" s="884"/>
      <c r="AI10" s="884"/>
      <c r="AJ10" s="1027">
        <v>13178.205</v>
      </c>
      <c r="AK10" s="622">
        <f>AL10+AM10+AN10</f>
        <v>13191.305</v>
      </c>
      <c r="AL10" s="1025"/>
      <c r="AM10" s="1025"/>
      <c r="AN10" s="1025">
        <v>13191.305</v>
      </c>
      <c r="AO10" s="622">
        <f>AP10+AQ10+AR10</f>
        <v>13202.344999999999</v>
      </c>
      <c r="AP10" s="1025"/>
      <c r="AQ10" s="1025"/>
      <c r="AR10" s="1025">
        <v>13202.344999999999</v>
      </c>
    </row>
    <row r="11" spans="1:44" ht="77.25" x14ac:dyDescent="0.25">
      <c r="A11" s="890" t="s">
        <v>8</v>
      </c>
      <c r="B11" s="308" t="s">
        <v>543</v>
      </c>
      <c r="C11" s="910" t="s">
        <v>640</v>
      </c>
      <c r="D11" s="16"/>
      <c r="E11" s="24">
        <f>G11+H11</f>
        <v>301.04293000000001</v>
      </c>
      <c r="F11" s="911">
        <f>J11+N11+R11+V11+Z11+AD11+AH11+AL11+AP11</f>
        <v>0</v>
      </c>
      <c r="G11" s="911">
        <f>K11+O11+S11+W11+AA11+AE11+AI11+AM11+AQ11</f>
        <v>0</v>
      </c>
      <c r="H11" s="911">
        <f>L11+P11+T11+X11+AB11+AF11+AJ11+AN11+AR11</f>
        <v>301.04293000000001</v>
      </c>
      <c r="I11" s="792">
        <f>K11+L11</f>
        <v>0</v>
      </c>
      <c r="J11" s="860"/>
      <c r="K11" s="860"/>
      <c r="L11" s="860"/>
      <c r="M11" s="792">
        <f>O11+P11</f>
        <v>0</v>
      </c>
      <c r="N11" s="860"/>
      <c r="O11" s="860"/>
      <c r="P11" s="860"/>
      <c r="Q11" s="792">
        <f>S11+T11</f>
        <v>0</v>
      </c>
      <c r="R11" s="860"/>
      <c r="S11" s="860"/>
      <c r="T11" s="860"/>
      <c r="U11" s="792">
        <f>W11+X11</f>
        <v>0</v>
      </c>
      <c r="V11" s="860"/>
      <c r="W11" s="860"/>
      <c r="X11" s="860">
        <v>0</v>
      </c>
      <c r="Y11" s="791">
        <f>AA11+AB11</f>
        <v>92.265260000000012</v>
      </c>
      <c r="Z11" s="860"/>
      <c r="AA11" s="860"/>
      <c r="AB11" s="1160">
        <f>100+14.15-21.88474</f>
        <v>92.265260000000012</v>
      </c>
      <c r="AC11" s="912">
        <f>AD11+AE11+AF11</f>
        <v>98.777670000000001</v>
      </c>
      <c r="AD11" s="913"/>
      <c r="AE11" s="913"/>
      <c r="AF11" s="625">
        <f>115-16.22233</f>
        <v>98.777670000000001</v>
      </c>
      <c r="AG11" s="622">
        <f>AH11+AI11+AJ11</f>
        <v>110</v>
      </c>
      <c r="AH11" s="913"/>
      <c r="AI11" s="913"/>
      <c r="AJ11" s="622">
        <v>110</v>
      </c>
      <c r="AK11" s="622">
        <f>AL11+AM11+AN11</f>
        <v>0</v>
      </c>
      <c r="AL11" s="622"/>
      <c r="AM11" s="622"/>
      <c r="AN11" s="622">
        <v>0</v>
      </c>
      <c r="AO11" s="622">
        <f>AP11+AQ11+AR11</f>
        <v>0</v>
      </c>
      <c r="AP11" s="622"/>
      <c r="AQ11" s="622"/>
      <c r="AR11" s="622"/>
    </row>
    <row r="12" spans="1:44" ht="45" customHeight="1" x14ac:dyDescent="0.25">
      <c r="A12" s="1438" t="s">
        <v>13</v>
      </c>
      <c r="B12" s="1439" t="s">
        <v>750</v>
      </c>
      <c r="C12" s="1134"/>
      <c r="D12" s="1134"/>
      <c r="E12" s="1440">
        <f>G12+H12</f>
        <v>1173.885</v>
      </c>
      <c r="F12" s="1113">
        <f>J12+N12+R12+V12+Z12+AD12+AH12+AL12+AP12</f>
        <v>0</v>
      </c>
      <c r="G12" s="1113">
        <f>K12+O12+S12+W12+AA12+AE12+AI12+AM12+AQ12</f>
        <v>1115.1849999999999</v>
      </c>
      <c r="H12" s="1113">
        <f>L12+P12+T12+X12+AB12+AF12+AJ12+AN12+AR12</f>
        <v>58.7</v>
      </c>
      <c r="I12" s="1134"/>
      <c r="J12" s="1134"/>
      <c r="K12" s="1134"/>
      <c r="L12" s="1134"/>
      <c r="M12" s="1134"/>
      <c r="N12" s="1134"/>
      <c r="O12" s="1134"/>
      <c r="P12" s="1134"/>
      <c r="Q12" s="1134"/>
      <c r="R12" s="1134"/>
      <c r="S12" s="1134"/>
      <c r="T12" s="1134"/>
      <c r="U12" s="1134"/>
      <c r="V12" s="1134"/>
      <c r="W12" s="1134"/>
      <c r="X12" s="1134"/>
      <c r="Y12" s="1134"/>
      <c r="Z12" s="1134"/>
      <c r="AA12" s="1134"/>
      <c r="AB12" s="1134"/>
      <c r="AC12" s="1134"/>
      <c r="AD12" s="1134"/>
      <c r="AE12" s="1134"/>
      <c r="AF12" s="1134"/>
      <c r="AG12" s="1103">
        <f>AI12+AJ12</f>
        <v>1173.885</v>
      </c>
      <c r="AH12" s="1103"/>
      <c r="AI12" s="1441">
        <v>1115.1849999999999</v>
      </c>
      <c r="AJ12" s="1103">
        <v>58.7</v>
      </c>
      <c r="AK12" s="1134"/>
      <c r="AL12" s="1134"/>
      <c r="AM12" s="1134"/>
      <c r="AN12" s="1134"/>
      <c r="AO12" s="1103"/>
      <c r="AP12" s="1103"/>
      <c r="AQ12" s="1103"/>
      <c r="AR12" s="1103"/>
    </row>
    <row r="13" spans="1:44" x14ac:dyDescent="0.25">
      <c r="A13" s="285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</row>
    <row r="14" spans="1:44" x14ac:dyDescent="0.25">
      <c r="A14" s="285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</row>
    <row r="15" spans="1:44" x14ac:dyDescent="0.25">
      <c r="A15" s="285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</row>
    <row r="16" spans="1:44" x14ac:dyDescent="0.25">
      <c r="A16" s="285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</row>
  </sheetData>
  <mergeCells count="12">
    <mergeCell ref="AO5:AR5"/>
    <mergeCell ref="AK5:AN5"/>
    <mergeCell ref="H1:AJ1"/>
    <mergeCell ref="B3:Y3"/>
    <mergeCell ref="E5:H5"/>
    <mergeCell ref="I5:L5"/>
    <mergeCell ref="M5:P5"/>
    <mergeCell ref="Q5:T5"/>
    <mergeCell ref="U5:X5"/>
    <mergeCell ref="Y5:AB5"/>
    <mergeCell ref="AC5:AF5"/>
    <mergeCell ref="AG5:AJ5"/>
  </mergeCells>
  <pageMargins left="0" right="0" top="0.74803149606299213" bottom="0.74803149606299213" header="0.31496062992125984" footer="0.31496062992125984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O55"/>
  <sheetViews>
    <sheetView zoomScaleNormal="100" zoomScaleSheetLayoutView="10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J21" sqref="J21"/>
    </sheetView>
  </sheetViews>
  <sheetFormatPr defaultRowHeight="15" x14ac:dyDescent="0.25"/>
  <cols>
    <col min="1" max="1" width="8.140625" style="732" customWidth="1"/>
    <col min="2" max="2" width="0.7109375" style="732" customWidth="1"/>
    <col min="3" max="3" width="9.28515625" style="732" customWidth="1"/>
    <col min="4" max="4" width="10.5703125" style="732" customWidth="1"/>
    <col min="5" max="5" width="9.85546875" style="732" customWidth="1"/>
    <col min="6" max="6" width="9.42578125" style="732" customWidth="1"/>
    <col min="7" max="7" width="10" style="732" customWidth="1"/>
    <col min="8" max="8" width="10.85546875" style="732" customWidth="1"/>
    <col min="9" max="9" width="10.7109375" style="732" customWidth="1"/>
    <col min="10" max="10" width="11.140625" style="732" customWidth="1"/>
    <col min="11" max="11" width="10.85546875" style="732" customWidth="1"/>
    <col min="12" max="12" width="11.42578125" style="732" customWidth="1"/>
    <col min="13" max="13" width="11.140625" style="732" customWidth="1"/>
    <col min="14" max="14" width="10.7109375" style="732" customWidth="1"/>
    <col min="15" max="15" width="9.5703125" style="732" bestFit="1" customWidth="1"/>
    <col min="16" max="263" width="9.140625" style="732"/>
    <col min="264" max="268" width="10.5703125" style="732" bestFit="1" customWidth="1"/>
    <col min="269" max="519" width="9.140625" style="732"/>
    <col min="520" max="524" width="10.5703125" style="732" bestFit="1" customWidth="1"/>
    <col min="525" max="775" width="9.140625" style="732"/>
    <col min="776" max="780" width="10.5703125" style="732" bestFit="1" customWidth="1"/>
    <col min="781" max="1031" width="9.140625" style="732"/>
    <col min="1032" max="1036" width="10.5703125" style="732" bestFit="1" customWidth="1"/>
    <col min="1037" max="1287" width="9.140625" style="732"/>
    <col min="1288" max="1292" width="10.5703125" style="732" bestFit="1" customWidth="1"/>
    <col min="1293" max="1543" width="9.140625" style="732"/>
    <col min="1544" max="1548" width="10.5703125" style="732" bestFit="1" customWidth="1"/>
    <col min="1549" max="1799" width="9.140625" style="732"/>
    <col min="1800" max="1804" width="10.5703125" style="732" bestFit="1" customWidth="1"/>
    <col min="1805" max="2055" width="9.140625" style="732"/>
    <col min="2056" max="2060" width="10.5703125" style="732" bestFit="1" customWidth="1"/>
    <col min="2061" max="2311" width="9.140625" style="732"/>
    <col min="2312" max="2316" width="10.5703125" style="732" bestFit="1" customWidth="1"/>
    <col min="2317" max="2567" width="9.140625" style="732"/>
    <col min="2568" max="2572" width="10.5703125" style="732" bestFit="1" customWidth="1"/>
    <col min="2573" max="2823" width="9.140625" style="732"/>
    <col min="2824" max="2828" width="10.5703125" style="732" bestFit="1" customWidth="1"/>
    <col min="2829" max="3079" width="9.140625" style="732"/>
    <col min="3080" max="3084" width="10.5703125" style="732" bestFit="1" customWidth="1"/>
    <col min="3085" max="3335" width="9.140625" style="732"/>
    <col min="3336" max="3340" width="10.5703125" style="732" bestFit="1" customWidth="1"/>
    <col min="3341" max="3591" width="9.140625" style="732"/>
    <col min="3592" max="3596" width="10.5703125" style="732" bestFit="1" customWidth="1"/>
    <col min="3597" max="3847" width="9.140625" style="732"/>
    <col min="3848" max="3852" width="10.5703125" style="732" bestFit="1" customWidth="1"/>
    <col min="3853" max="4103" width="9.140625" style="732"/>
    <col min="4104" max="4108" width="10.5703125" style="732" bestFit="1" customWidth="1"/>
    <col min="4109" max="4359" width="9.140625" style="732"/>
    <col min="4360" max="4364" width="10.5703125" style="732" bestFit="1" customWidth="1"/>
    <col min="4365" max="4615" width="9.140625" style="732"/>
    <col min="4616" max="4620" width="10.5703125" style="732" bestFit="1" customWidth="1"/>
    <col min="4621" max="4871" width="9.140625" style="732"/>
    <col min="4872" max="4876" width="10.5703125" style="732" bestFit="1" customWidth="1"/>
    <col min="4877" max="5127" width="9.140625" style="732"/>
    <col min="5128" max="5132" width="10.5703125" style="732" bestFit="1" customWidth="1"/>
    <col min="5133" max="5383" width="9.140625" style="732"/>
    <col min="5384" max="5388" width="10.5703125" style="732" bestFit="1" customWidth="1"/>
    <col min="5389" max="5639" width="9.140625" style="732"/>
    <col min="5640" max="5644" width="10.5703125" style="732" bestFit="1" customWidth="1"/>
    <col min="5645" max="5895" width="9.140625" style="732"/>
    <col min="5896" max="5900" width="10.5703125" style="732" bestFit="1" customWidth="1"/>
    <col min="5901" max="6151" width="9.140625" style="732"/>
    <col min="6152" max="6156" width="10.5703125" style="732" bestFit="1" customWidth="1"/>
    <col min="6157" max="6407" width="9.140625" style="732"/>
    <col min="6408" max="6412" width="10.5703125" style="732" bestFit="1" customWidth="1"/>
    <col min="6413" max="6663" width="9.140625" style="732"/>
    <col min="6664" max="6668" width="10.5703125" style="732" bestFit="1" customWidth="1"/>
    <col min="6669" max="6919" width="9.140625" style="732"/>
    <col min="6920" max="6924" width="10.5703125" style="732" bestFit="1" customWidth="1"/>
    <col min="6925" max="7175" width="9.140625" style="732"/>
    <col min="7176" max="7180" width="10.5703125" style="732" bestFit="1" customWidth="1"/>
    <col min="7181" max="7431" width="9.140625" style="732"/>
    <col min="7432" max="7436" width="10.5703125" style="732" bestFit="1" customWidth="1"/>
    <col min="7437" max="7687" width="9.140625" style="732"/>
    <col min="7688" max="7692" width="10.5703125" style="732" bestFit="1" customWidth="1"/>
    <col min="7693" max="7943" width="9.140625" style="732"/>
    <col min="7944" max="7948" width="10.5703125" style="732" bestFit="1" customWidth="1"/>
    <col min="7949" max="8199" width="9.140625" style="732"/>
    <col min="8200" max="8204" width="10.5703125" style="732" bestFit="1" customWidth="1"/>
    <col min="8205" max="8455" width="9.140625" style="732"/>
    <col min="8456" max="8460" width="10.5703125" style="732" bestFit="1" customWidth="1"/>
    <col min="8461" max="8711" width="9.140625" style="732"/>
    <col min="8712" max="8716" width="10.5703125" style="732" bestFit="1" customWidth="1"/>
    <col min="8717" max="8967" width="9.140625" style="732"/>
    <col min="8968" max="8972" width="10.5703125" style="732" bestFit="1" customWidth="1"/>
    <col min="8973" max="9223" width="9.140625" style="732"/>
    <col min="9224" max="9228" width="10.5703125" style="732" bestFit="1" customWidth="1"/>
    <col min="9229" max="9479" width="9.140625" style="732"/>
    <col min="9480" max="9484" width="10.5703125" style="732" bestFit="1" customWidth="1"/>
    <col min="9485" max="9735" width="9.140625" style="732"/>
    <col min="9736" max="9740" width="10.5703125" style="732" bestFit="1" customWidth="1"/>
    <col min="9741" max="9991" width="9.140625" style="732"/>
    <col min="9992" max="9996" width="10.5703125" style="732" bestFit="1" customWidth="1"/>
    <col min="9997" max="10247" width="9.140625" style="732"/>
    <col min="10248" max="10252" width="10.5703125" style="732" bestFit="1" customWidth="1"/>
    <col min="10253" max="10503" width="9.140625" style="732"/>
    <col min="10504" max="10508" width="10.5703125" style="732" bestFit="1" customWidth="1"/>
    <col min="10509" max="10759" width="9.140625" style="732"/>
    <col min="10760" max="10764" width="10.5703125" style="732" bestFit="1" customWidth="1"/>
    <col min="10765" max="11015" width="9.140625" style="732"/>
    <col min="11016" max="11020" width="10.5703125" style="732" bestFit="1" customWidth="1"/>
    <col min="11021" max="11271" width="9.140625" style="732"/>
    <col min="11272" max="11276" width="10.5703125" style="732" bestFit="1" customWidth="1"/>
    <col min="11277" max="11527" width="9.140625" style="732"/>
    <col min="11528" max="11532" width="10.5703125" style="732" bestFit="1" customWidth="1"/>
    <col min="11533" max="11783" width="9.140625" style="732"/>
    <col min="11784" max="11788" width="10.5703125" style="732" bestFit="1" customWidth="1"/>
    <col min="11789" max="12039" width="9.140625" style="732"/>
    <col min="12040" max="12044" width="10.5703125" style="732" bestFit="1" customWidth="1"/>
    <col min="12045" max="12295" width="9.140625" style="732"/>
    <col min="12296" max="12300" width="10.5703125" style="732" bestFit="1" customWidth="1"/>
    <col min="12301" max="12551" width="9.140625" style="732"/>
    <col min="12552" max="12556" width="10.5703125" style="732" bestFit="1" customWidth="1"/>
    <col min="12557" max="12807" width="9.140625" style="732"/>
    <col min="12808" max="12812" width="10.5703125" style="732" bestFit="1" customWidth="1"/>
    <col min="12813" max="13063" width="9.140625" style="732"/>
    <col min="13064" max="13068" width="10.5703125" style="732" bestFit="1" customWidth="1"/>
    <col min="13069" max="13319" width="9.140625" style="732"/>
    <col min="13320" max="13324" width="10.5703125" style="732" bestFit="1" customWidth="1"/>
    <col min="13325" max="13575" width="9.140625" style="732"/>
    <col min="13576" max="13580" width="10.5703125" style="732" bestFit="1" customWidth="1"/>
    <col min="13581" max="13831" width="9.140625" style="732"/>
    <col min="13832" max="13836" width="10.5703125" style="732" bestFit="1" customWidth="1"/>
    <col min="13837" max="14087" width="9.140625" style="732"/>
    <col min="14088" max="14092" width="10.5703125" style="732" bestFit="1" customWidth="1"/>
    <col min="14093" max="14343" width="9.140625" style="732"/>
    <col min="14344" max="14348" width="10.5703125" style="732" bestFit="1" customWidth="1"/>
    <col min="14349" max="14599" width="9.140625" style="732"/>
    <col min="14600" max="14604" width="10.5703125" style="732" bestFit="1" customWidth="1"/>
    <col min="14605" max="14855" width="9.140625" style="732"/>
    <col min="14856" max="14860" width="10.5703125" style="732" bestFit="1" customWidth="1"/>
    <col min="14861" max="15111" width="9.140625" style="732"/>
    <col min="15112" max="15116" width="10.5703125" style="732" bestFit="1" customWidth="1"/>
    <col min="15117" max="15367" width="9.140625" style="732"/>
    <col min="15368" max="15372" width="10.5703125" style="732" bestFit="1" customWidth="1"/>
    <col min="15373" max="15623" width="9.140625" style="732"/>
    <col min="15624" max="15628" width="10.5703125" style="732" bestFit="1" customWidth="1"/>
    <col min="15629" max="15879" width="9.140625" style="732"/>
    <col min="15880" max="15884" width="10.5703125" style="732" bestFit="1" customWidth="1"/>
    <col min="15885" max="16135" width="9.140625" style="732"/>
    <col min="16136" max="16140" width="10.5703125" style="732" bestFit="1" customWidth="1"/>
    <col min="16141" max="16384" width="9.140625" style="732"/>
  </cols>
  <sheetData>
    <row r="2" spans="1:15" x14ac:dyDescent="0.25">
      <c r="G2" s="1041"/>
      <c r="H2" s="1059"/>
      <c r="I2" s="1059"/>
      <c r="J2" s="1059"/>
      <c r="K2" s="1059"/>
    </row>
    <row r="3" spans="1:15" ht="15.75" x14ac:dyDescent="0.25">
      <c r="A3" s="753" t="s">
        <v>269</v>
      </c>
      <c r="B3" s="733"/>
      <c r="C3" s="734">
        <v>2014</v>
      </c>
      <c r="D3" s="734">
        <v>2015</v>
      </c>
      <c r="E3" s="734">
        <v>2016</v>
      </c>
      <c r="F3" s="734">
        <v>2017</v>
      </c>
      <c r="G3" s="1042">
        <v>2018</v>
      </c>
      <c r="H3" s="1054">
        <v>2019</v>
      </c>
      <c r="I3" s="1043">
        <v>2020</v>
      </c>
      <c r="J3" s="1574">
        <v>2021</v>
      </c>
      <c r="K3" s="1054">
        <v>2022</v>
      </c>
      <c r="L3" s="735" t="s">
        <v>133</v>
      </c>
    </row>
    <row r="4" spans="1:15" x14ac:dyDescent="0.25">
      <c r="A4" s="736" t="s">
        <v>2</v>
      </c>
      <c r="B4" s="733"/>
      <c r="C4" s="737">
        <f t="shared" ref="C4:K4" si="0">C5+C6+C7</f>
        <v>1033047.51</v>
      </c>
      <c r="D4" s="737">
        <f t="shared" si="0"/>
        <v>1055009.8</v>
      </c>
      <c r="E4" s="737">
        <f t="shared" si="0"/>
        <v>1095664.8799999999</v>
      </c>
      <c r="F4" s="737">
        <f t="shared" si="0"/>
        <v>1200524.58</v>
      </c>
      <c r="G4" s="1044">
        <f t="shared" si="0"/>
        <v>1324394.5137899998</v>
      </c>
      <c r="H4" s="1055">
        <f t="shared" si="0"/>
        <v>1444891.21</v>
      </c>
      <c r="I4" s="1462">
        <f>I5+I6+I7</f>
        <v>1499451.5499999998</v>
      </c>
      <c r="J4" s="1575">
        <f>J5+J6+J7</f>
        <v>1507289.13</v>
      </c>
      <c r="K4" s="1055">
        <f t="shared" si="0"/>
        <v>1573546.9</v>
      </c>
      <c r="L4" s="737">
        <f>L5+L6+L7</f>
        <v>11733820.073789999</v>
      </c>
    </row>
    <row r="5" spans="1:15" x14ac:dyDescent="0.25">
      <c r="A5" s="736" t="s">
        <v>3</v>
      </c>
      <c r="B5" s="733"/>
      <c r="C5" s="733">
        <v>622862.80000000005</v>
      </c>
      <c r="D5" s="733">
        <v>618044.1</v>
      </c>
      <c r="E5" s="733">
        <v>637626.9</v>
      </c>
      <c r="F5" s="738">
        <v>696714.65</v>
      </c>
      <c r="G5" s="1045">
        <f>734842.7+62035.938+683.4</f>
        <v>797562.03799999994</v>
      </c>
      <c r="H5" s="1056">
        <v>890464.8</v>
      </c>
      <c r="I5" s="1064">
        <v>920457.35</v>
      </c>
      <c r="J5" s="1576">
        <f>949128.5+267.23</f>
        <v>949395.73</v>
      </c>
      <c r="K5" s="1056">
        <f>977574.4+267.2</f>
        <v>977841.6</v>
      </c>
      <c r="L5" s="738">
        <f>C5+D5+E5+F5+G5+H5+I5+J5+K5</f>
        <v>7110969.9679999985</v>
      </c>
    </row>
    <row r="6" spans="1:15" x14ac:dyDescent="0.25">
      <c r="A6" s="736" t="s">
        <v>4</v>
      </c>
      <c r="B6" s="733"/>
      <c r="C6" s="733"/>
      <c r="D6" s="733">
        <v>1064.5</v>
      </c>
      <c r="E6" s="733"/>
      <c r="F6" s="738"/>
      <c r="G6" s="1045"/>
      <c r="H6" s="1056">
        <v>1095.2</v>
      </c>
      <c r="I6" s="1064">
        <v>3797.5</v>
      </c>
      <c r="J6" s="1576">
        <v>2315.6</v>
      </c>
      <c r="K6" s="1056"/>
      <c r="L6" s="738">
        <f>C6+D6+E6+F6+G6+H6+I6+J6+K6</f>
        <v>8272.7999999999993</v>
      </c>
    </row>
    <row r="7" spans="1:15" x14ac:dyDescent="0.25">
      <c r="A7" s="736" t="s">
        <v>5</v>
      </c>
      <c r="B7" s="733"/>
      <c r="C7" s="733">
        <v>410184.71</v>
      </c>
      <c r="D7" s="738">
        <v>435901.2</v>
      </c>
      <c r="E7" s="738">
        <f>458037.98</f>
        <v>458037.98</v>
      </c>
      <c r="F7" s="738">
        <v>503809.93</v>
      </c>
      <c r="G7" s="1045">
        <f>506566.35-16519.4+100+109+134.6-61-177+200+66.2-100-150+472+800+809.85+715+198.5+23239.516-78.42431+10325.20663+263.27747-68-13.2</f>
        <v>526832.47578999994</v>
      </c>
      <c r="H7" s="1056">
        <v>553331.21</v>
      </c>
      <c r="I7" s="1064">
        <v>575196.69999999995</v>
      </c>
      <c r="J7" s="1576">
        <f>566777.8-1200-10000</f>
        <v>555577.80000000005</v>
      </c>
      <c r="K7" s="1056">
        <v>595705.30000000005</v>
      </c>
      <c r="L7" s="738">
        <f>C7+D7+E7+F7+G7+H7+I7+J7+K7</f>
        <v>4614577.3057899997</v>
      </c>
    </row>
    <row r="8" spans="1:15" x14ac:dyDescent="0.25">
      <c r="F8" s="745"/>
      <c r="G8" s="1046"/>
      <c r="H8" s="1057"/>
      <c r="I8" s="1047"/>
      <c r="J8" s="1577"/>
      <c r="K8" s="1057"/>
      <c r="L8" s="745"/>
      <c r="M8" s="740"/>
      <c r="N8" s="741"/>
    </row>
    <row r="9" spans="1:15" ht="15.75" x14ac:dyDescent="0.25">
      <c r="A9" s="739" t="s">
        <v>270</v>
      </c>
      <c r="B9" s="733"/>
      <c r="C9" s="734">
        <v>2014</v>
      </c>
      <c r="D9" s="734">
        <v>2015</v>
      </c>
      <c r="E9" s="734">
        <v>2016</v>
      </c>
      <c r="F9" s="1146">
        <v>2017</v>
      </c>
      <c r="G9" s="1048">
        <v>2018</v>
      </c>
      <c r="H9" s="1148">
        <v>2019</v>
      </c>
      <c r="I9" s="1557">
        <v>2020</v>
      </c>
      <c r="J9" s="1578">
        <v>2021</v>
      </c>
      <c r="K9" s="1148">
        <v>2022</v>
      </c>
      <c r="L9" s="1149" t="s">
        <v>133</v>
      </c>
      <c r="M9" s="742"/>
      <c r="N9" s="743"/>
    </row>
    <row r="10" spans="1:15" x14ac:dyDescent="0.25">
      <c r="A10" s="736" t="s">
        <v>2</v>
      </c>
      <c r="B10" s="733"/>
      <c r="C10" s="737">
        <f t="shared" ref="C10:I10" si="1">C11+C12+C13</f>
        <v>49517.53</v>
      </c>
      <c r="D10" s="737">
        <f t="shared" si="1"/>
        <v>38376.813000000002</v>
      </c>
      <c r="E10" s="737">
        <f t="shared" si="1"/>
        <v>47338.884299999998</v>
      </c>
      <c r="F10" s="737">
        <f t="shared" si="1"/>
        <v>55130.200000000004</v>
      </c>
      <c r="G10" s="1044">
        <f t="shared" si="1"/>
        <v>49072.34607</v>
      </c>
      <c r="H10" s="1055">
        <f>H11+H12+H13+H14</f>
        <v>96013.7</v>
      </c>
      <c r="I10" s="1462">
        <f t="shared" si="1"/>
        <v>170699.55</v>
      </c>
      <c r="J10" s="1575">
        <f>J11+J12+J13</f>
        <v>221690.9</v>
      </c>
      <c r="K10" s="1055">
        <f>K11+K12+K13</f>
        <v>34939.745000000003</v>
      </c>
      <c r="L10" s="737">
        <f>L11+L12+L13+L14</f>
        <v>762779.66836999997</v>
      </c>
      <c r="M10" s="1449"/>
      <c r="N10" s="917"/>
    </row>
    <row r="11" spans="1:15" x14ac:dyDescent="0.25">
      <c r="A11" s="736" t="s">
        <v>3</v>
      </c>
      <c r="B11" s="733"/>
      <c r="C11" s="733">
        <v>36747.599999999999</v>
      </c>
      <c r="D11" s="738">
        <v>27768.812000000002</v>
      </c>
      <c r="E11" s="733">
        <v>31261.7</v>
      </c>
      <c r="F11" s="738">
        <v>36752.800000000003</v>
      </c>
      <c r="G11" s="1045">
        <f>30329.3-1846.3</f>
        <v>28483</v>
      </c>
      <c r="H11" s="1056">
        <v>42203.4</v>
      </c>
      <c r="I11" s="1064">
        <v>92379.044999999998</v>
      </c>
      <c r="J11" s="1576">
        <v>64890.3</v>
      </c>
      <c r="K11" s="1056">
        <v>31326.9</v>
      </c>
      <c r="L11" s="738">
        <f>C11+D11+E11+F11+G11+H11+I11+J11+K11</f>
        <v>391813.55700000003</v>
      </c>
      <c r="M11" s="744"/>
      <c r="N11" s="741"/>
    </row>
    <row r="12" spans="1:15" x14ac:dyDescent="0.25">
      <c r="A12" s="736" t="s">
        <v>4</v>
      </c>
      <c r="B12" s="733"/>
      <c r="C12" s="733"/>
      <c r="D12" s="738">
        <v>722.4</v>
      </c>
      <c r="E12" s="738">
        <v>2386</v>
      </c>
      <c r="F12" s="738"/>
      <c r="G12" s="1045"/>
      <c r="H12" s="1056">
        <v>2979</v>
      </c>
      <c r="I12" s="1064">
        <v>42394.004999999997</v>
      </c>
      <c r="J12" s="1576">
        <v>116260.2</v>
      </c>
      <c r="K12" s="1056">
        <v>1125.6030000000001</v>
      </c>
      <c r="L12" s="738">
        <f>C12+D12+E12+F12+G12+H12+I12+J12+K12</f>
        <v>165867.20799999998</v>
      </c>
      <c r="N12" s="745"/>
      <c r="O12" s="746"/>
    </row>
    <row r="13" spans="1:15" x14ac:dyDescent="0.25">
      <c r="A13" s="736" t="s">
        <v>5</v>
      </c>
      <c r="B13" s="733"/>
      <c r="C13" s="738">
        <v>12769.93</v>
      </c>
      <c r="D13" s="738">
        <v>9885.6010000000006</v>
      </c>
      <c r="E13" s="738">
        <v>13691.184300000001</v>
      </c>
      <c r="F13" s="738">
        <v>18377.400000000001</v>
      </c>
      <c r="G13" s="1045">
        <f>20596.2-200.9+243.44607-149.4+100</f>
        <v>20589.34607</v>
      </c>
      <c r="H13" s="1056">
        <v>50157.9</v>
      </c>
      <c r="I13" s="1064">
        <v>35926.5</v>
      </c>
      <c r="J13" s="1576">
        <f>6616.7+1200+32723.7</f>
        <v>40540.400000000001</v>
      </c>
      <c r="K13" s="1056">
        <v>2487.2420000000002</v>
      </c>
      <c r="L13" s="738">
        <f>C13+D13+E13+F13+G13+H13+I13+J13+K13</f>
        <v>204425.50336999999</v>
      </c>
    </row>
    <row r="14" spans="1:15" x14ac:dyDescent="0.25">
      <c r="A14" s="736" t="s">
        <v>702</v>
      </c>
      <c r="B14" s="733"/>
      <c r="C14" s="738"/>
      <c r="D14" s="738"/>
      <c r="E14" s="738"/>
      <c r="F14" s="738"/>
      <c r="G14" s="1045"/>
      <c r="H14" s="1056">
        <v>673.4</v>
      </c>
      <c r="I14" s="1064"/>
      <c r="J14" s="1579"/>
      <c r="K14" s="1450"/>
      <c r="L14" s="738">
        <f>C14+D14+E14+F14+G14+H14+I14+J14+K14</f>
        <v>673.4</v>
      </c>
    </row>
    <row r="15" spans="1:15" x14ac:dyDescent="0.25">
      <c r="F15" s="745"/>
      <c r="G15" s="1049"/>
      <c r="H15" s="1057"/>
      <c r="I15" s="1047"/>
      <c r="J15" s="1577"/>
      <c r="K15" s="1057"/>
      <c r="L15" s="745"/>
    </row>
    <row r="16" spans="1:15" ht="15.75" x14ac:dyDescent="0.25">
      <c r="A16" s="739" t="s">
        <v>271</v>
      </c>
      <c r="B16" s="733"/>
      <c r="C16" s="1146">
        <v>2014</v>
      </c>
      <c r="D16" s="1146">
        <v>2015</v>
      </c>
      <c r="E16" s="1146">
        <v>2016</v>
      </c>
      <c r="F16" s="1146">
        <v>2017</v>
      </c>
      <c r="G16" s="1048">
        <v>2018</v>
      </c>
      <c r="H16" s="1148">
        <v>2019</v>
      </c>
      <c r="I16" s="1557">
        <v>2020</v>
      </c>
      <c r="J16" s="1578">
        <v>2021</v>
      </c>
      <c r="K16" s="1148">
        <v>2022</v>
      </c>
      <c r="L16" s="1149" t="s">
        <v>133</v>
      </c>
    </row>
    <row r="17" spans="1:12" x14ac:dyDescent="0.25">
      <c r="A17" s="736" t="s">
        <v>2</v>
      </c>
      <c r="B17" s="733"/>
      <c r="C17" s="737">
        <f t="shared" ref="C17:I17" si="2">C18+C19+C20</f>
        <v>48204</v>
      </c>
      <c r="D17" s="737">
        <f t="shared" si="2"/>
        <v>49476.800000000003</v>
      </c>
      <c r="E17" s="737">
        <f t="shared" si="2"/>
        <v>51257.97</v>
      </c>
      <c r="F17" s="737">
        <f t="shared" si="2"/>
        <v>56604.2</v>
      </c>
      <c r="G17" s="1044">
        <f t="shared" si="2"/>
        <v>61545.47954</v>
      </c>
      <c r="H17" s="1055">
        <f t="shared" si="2"/>
        <v>66732.399999999994</v>
      </c>
      <c r="I17" s="1462">
        <f t="shared" si="2"/>
        <v>70104.3</v>
      </c>
      <c r="J17" s="1575">
        <f>J18+J19+J20</f>
        <v>39711.897999999899</v>
      </c>
      <c r="K17" s="1055">
        <f>K18+K19+K20</f>
        <v>62761.688000000002</v>
      </c>
      <c r="L17" s="737">
        <f>L18+L19+L20</f>
        <v>506398.73553999997</v>
      </c>
    </row>
    <row r="18" spans="1:12" x14ac:dyDescent="0.25">
      <c r="A18" s="736" t="s">
        <v>3</v>
      </c>
      <c r="B18" s="733"/>
      <c r="C18" s="733"/>
      <c r="D18" s="733"/>
      <c r="E18" s="733"/>
      <c r="F18" s="738"/>
      <c r="G18" s="1045">
        <v>675</v>
      </c>
      <c r="H18" s="1056">
        <v>0</v>
      </c>
      <c r="I18" s="1064"/>
      <c r="J18" s="1576"/>
      <c r="K18" s="1056"/>
      <c r="L18" s="738">
        <f>C18+D18+E18+F18+G18+H18+I18+J18+K18</f>
        <v>675</v>
      </c>
    </row>
    <row r="19" spans="1:12" x14ac:dyDescent="0.25">
      <c r="A19" s="736" t="s">
        <v>4</v>
      </c>
      <c r="B19" s="733"/>
      <c r="C19" s="733"/>
      <c r="D19" s="733"/>
      <c r="E19" s="733"/>
      <c r="F19" s="738"/>
      <c r="G19" s="1045"/>
      <c r="H19" s="1056"/>
      <c r="I19" s="1064"/>
      <c r="J19" s="1576"/>
      <c r="K19" s="1056"/>
      <c r="L19" s="738">
        <f>C19+D19+E19+F19+G19+H19+I19+J19+K19</f>
        <v>0</v>
      </c>
    </row>
    <row r="20" spans="1:12" x14ac:dyDescent="0.25">
      <c r="A20" s="736" t="s">
        <v>5</v>
      </c>
      <c r="B20" s="733"/>
      <c r="C20" s="738">
        <v>48204</v>
      </c>
      <c r="D20" s="738">
        <v>49476.800000000003</v>
      </c>
      <c r="E20" s="738">
        <v>51257.97</v>
      </c>
      <c r="F20" s="738">
        <v>56604.2</v>
      </c>
      <c r="G20" s="1045">
        <f>59135-109+510.9+100+60+180+130+90+329.784+21.68298+340.9159+68+13.19666</f>
        <v>60870.47954</v>
      </c>
      <c r="H20" s="1056">
        <v>66732.399999999994</v>
      </c>
      <c r="I20" s="1064">
        <v>70104.3</v>
      </c>
      <c r="J20" s="1576">
        <f>62435.5979999999-22723.7</f>
        <v>39711.897999999899</v>
      </c>
      <c r="K20" s="1056">
        <v>62761.688000000002</v>
      </c>
      <c r="L20" s="738">
        <f>C20+D20+E20+F20+G20+H20+I20+J20+K20</f>
        <v>505723.73553999997</v>
      </c>
    </row>
    <row r="21" spans="1:12" x14ac:dyDescent="0.25">
      <c r="F21" s="745"/>
      <c r="G21" s="1049"/>
      <c r="H21" s="1057"/>
      <c r="I21" s="1047"/>
      <c r="J21" s="1577"/>
      <c r="K21" s="1057"/>
      <c r="L21" s="745"/>
    </row>
    <row r="22" spans="1:12" ht="15.75" x14ac:dyDescent="0.25">
      <c r="A22" s="739" t="s">
        <v>272</v>
      </c>
      <c r="B22" s="733"/>
      <c r="C22" s="1146">
        <v>2014</v>
      </c>
      <c r="D22" s="1146">
        <v>2015</v>
      </c>
      <c r="E22" s="1146">
        <v>2016</v>
      </c>
      <c r="F22" s="1146">
        <v>2017</v>
      </c>
      <c r="G22" s="1048">
        <v>2018</v>
      </c>
      <c r="H22" s="1148">
        <v>2019</v>
      </c>
      <c r="I22" s="1557">
        <v>2020</v>
      </c>
      <c r="J22" s="1578">
        <v>2021</v>
      </c>
      <c r="K22" s="1148">
        <v>2022</v>
      </c>
      <c r="L22" s="1149" t="s">
        <v>133</v>
      </c>
    </row>
    <row r="23" spans="1:12" x14ac:dyDescent="0.25">
      <c r="A23" s="736" t="s">
        <v>2</v>
      </c>
      <c r="B23" s="733"/>
      <c r="C23" s="737">
        <f t="shared" ref="C23:I23" si="3">C24+C25+C26</f>
        <v>173.5</v>
      </c>
      <c r="D23" s="737">
        <f t="shared" si="3"/>
        <v>124</v>
      </c>
      <c r="E23" s="737">
        <f t="shared" si="3"/>
        <v>136</v>
      </c>
      <c r="F23" s="737">
        <f t="shared" si="3"/>
        <v>300</v>
      </c>
      <c r="G23" s="1044">
        <f t="shared" si="3"/>
        <v>611</v>
      </c>
      <c r="H23" s="1055">
        <f t="shared" si="3"/>
        <v>655.20000000000005</v>
      </c>
      <c r="I23" s="1462">
        <f t="shared" si="3"/>
        <v>591</v>
      </c>
      <c r="J23" s="1575">
        <f>J24+J25+J26</f>
        <v>591</v>
      </c>
      <c r="K23" s="1055">
        <f>K24+K25+K26</f>
        <v>591</v>
      </c>
      <c r="L23" s="737">
        <f>L24+L25+L26</f>
        <v>3772.7</v>
      </c>
    </row>
    <row r="24" spans="1:12" x14ac:dyDescent="0.25">
      <c r="A24" s="736" t="s">
        <v>3</v>
      </c>
      <c r="B24" s="733"/>
      <c r="C24" s="733"/>
      <c r="D24" s="733"/>
      <c r="E24" s="733"/>
      <c r="F24" s="738"/>
      <c r="G24" s="1045"/>
      <c r="H24" s="1056"/>
      <c r="I24" s="1064"/>
      <c r="J24" s="1576"/>
      <c r="K24" s="1056"/>
      <c r="L24" s="738">
        <f>C24+D24+E24+F24+G24+H24+I24+J24+K24</f>
        <v>0</v>
      </c>
    </row>
    <row r="25" spans="1:12" x14ac:dyDescent="0.25">
      <c r="A25" s="736" t="s">
        <v>4</v>
      </c>
      <c r="B25" s="733"/>
      <c r="C25" s="733"/>
      <c r="D25" s="733"/>
      <c r="E25" s="733"/>
      <c r="F25" s="738"/>
      <c r="G25" s="1045"/>
      <c r="H25" s="1056"/>
      <c r="I25" s="1064"/>
      <c r="J25" s="1576"/>
      <c r="K25" s="1056"/>
      <c r="L25" s="738">
        <f>C25+D25+E25+F25+G25+H25+I25+J25+K25</f>
        <v>0</v>
      </c>
    </row>
    <row r="26" spans="1:12" x14ac:dyDescent="0.25">
      <c r="A26" s="736" t="s">
        <v>5</v>
      </c>
      <c r="B26" s="733"/>
      <c r="C26" s="733">
        <v>173.5</v>
      </c>
      <c r="D26" s="738">
        <v>124</v>
      </c>
      <c r="E26" s="738">
        <v>136</v>
      </c>
      <c r="F26" s="738">
        <f>240+15+45</f>
        <v>300</v>
      </c>
      <c r="G26" s="1045">
        <f>456-12+147+20</f>
        <v>611</v>
      </c>
      <c r="H26" s="1056">
        <v>655.20000000000005</v>
      </c>
      <c r="I26" s="1064">
        <v>591</v>
      </c>
      <c r="J26" s="1576">
        <v>591</v>
      </c>
      <c r="K26" s="1056">
        <v>591</v>
      </c>
      <c r="L26" s="738">
        <f>C26+D26+E26+F26+G26+H26+I26+J26+K26</f>
        <v>3772.7</v>
      </c>
    </row>
    <row r="27" spans="1:12" x14ac:dyDescent="0.25">
      <c r="F27" s="745"/>
      <c r="G27" s="1046"/>
      <c r="H27" s="1057"/>
      <c r="I27" s="1047"/>
      <c r="J27" s="1577"/>
      <c r="K27" s="1057"/>
      <c r="L27" s="745"/>
    </row>
    <row r="28" spans="1:12" ht="15.75" x14ac:dyDescent="0.25">
      <c r="A28" s="739" t="s">
        <v>273</v>
      </c>
      <c r="B28" s="733"/>
      <c r="C28" s="734">
        <v>2014</v>
      </c>
      <c r="D28" s="1146">
        <v>2015</v>
      </c>
      <c r="E28" s="1146">
        <v>2016</v>
      </c>
      <c r="F28" s="1146">
        <v>2017</v>
      </c>
      <c r="G28" s="1048">
        <v>2018</v>
      </c>
      <c r="H28" s="1148">
        <v>2019</v>
      </c>
      <c r="I28" s="1557">
        <v>2020</v>
      </c>
      <c r="J28" s="1578">
        <v>2021</v>
      </c>
      <c r="K28" s="1148">
        <v>2022</v>
      </c>
      <c r="L28" s="1149" t="s">
        <v>133</v>
      </c>
    </row>
    <row r="29" spans="1:12" x14ac:dyDescent="0.25">
      <c r="A29" s="736" t="s">
        <v>2</v>
      </c>
      <c r="B29" s="733"/>
      <c r="C29" s="737">
        <f t="shared" ref="C29:I29" si="4">C30+C31+C32</f>
        <v>62561.1</v>
      </c>
      <c r="D29" s="737">
        <f t="shared" si="4"/>
        <v>63567.1</v>
      </c>
      <c r="E29" s="737">
        <f t="shared" si="4"/>
        <v>72143.3</v>
      </c>
      <c r="F29" s="737">
        <f t="shared" si="4"/>
        <v>72376.899999999994</v>
      </c>
      <c r="G29" s="1044">
        <f t="shared" si="4"/>
        <v>78257.799999999988</v>
      </c>
      <c r="H29" s="1055">
        <f t="shared" si="4"/>
        <v>87931.1</v>
      </c>
      <c r="I29" s="1462">
        <f t="shared" si="4"/>
        <v>95276.62</v>
      </c>
      <c r="J29" s="1575">
        <f>J30+J31+J32</f>
        <v>95360.7</v>
      </c>
      <c r="K29" s="1055">
        <f>K30+K32</f>
        <v>95345.400000000009</v>
      </c>
      <c r="L29" s="737">
        <f>L30+L31+L32</f>
        <v>722820.02</v>
      </c>
    </row>
    <row r="30" spans="1:12" x14ac:dyDescent="0.25">
      <c r="A30" s="736" t="s">
        <v>3</v>
      </c>
      <c r="B30" s="733"/>
      <c r="C30" s="733">
        <v>62501.1</v>
      </c>
      <c r="D30" s="733">
        <v>63507.1</v>
      </c>
      <c r="E30" s="733">
        <v>72083.3</v>
      </c>
      <c r="F30" s="738">
        <v>72316.899999999994</v>
      </c>
      <c r="G30" s="1045">
        <f>78869.9-702.1</f>
        <v>78167.799999999988</v>
      </c>
      <c r="H30" s="1056">
        <v>87841.1</v>
      </c>
      <c r="I30" s="1064">
        <v>95186.62</v>
      </c>
      <c r="J30" s="1576">
        <f>92653.7+2617</f>
        <v>95270.7</v>
      </c>
      <c r="K30" s="1056">
        <f>92679.3+2576.1</f>
        <v>95255.400000000009</v>
      </c>
      <c r="L30" s="738">
        <f>C30+D30+E30+F30+G30+H30+I30+J30+K30</f>
        <v>722130.02</v>
      </c>
    </row>
    <row r="31" spans="1:12" x14ac:dyDescent="0.25">
      <c r="A31" s="736" t="s">
        <v>4</v>
      </c>
      <c r="B31" s="733"/>
      <c r="C31" s="733"/>
      <c r="D31" s="733"/>
      <c r="E31" s="733"/>
      <c r="F31" s="738"/>
      <c r="G31" s="1045"/>
      <c r="H31" s="1056"/>
      <c r="I31" s="1064"/>
      <c r="J31" s="1576"/>
      <c r="K31" s="1056"/>
      <c r="L31" s="738">
        <f>C31+D31+E31+F31+G31+H31+I31+J31+K31</f>
        <v>0</v>
      </c>
    </row>
    <row r="32" spans="1:12" x14ac:dyDescent="0.25">
      <c r="A32" s="736" t="s">
        <v>5</v>
      </c>
      <c r="B32" s="733"/>
      <c r="C32" s="733">
        <v>60</v>
      </c>
      <c r="D32" s="733">
        <v>60</v>
      </c>
      <c r="E32" s="733">
        <v>60</v>
      </c>
      <c r="F32" s="738">
        <v>60</v>
      </c>
      <c r="G32" s="1045">
        <f>60+30</f>
        <v>90</v>
      </c>
      <c r="H32" s="1056">
        <v>90</v>
      </c>
      <c r="I32" s="1064">
        <v>90</v>
      </c>
      <c r="J32" s="1576">
        <v>90</v>
      </c>
      <c r="K32" s="1056">
        <v>90</v>
      </c>
      <c r="L32" s="738">
        <f>C32+D32+E32+F32+G32+H32+I32+J32+K32</f>
        <v>690</v>
      </c>
    </row>
    <row r="33" spans="1:13" x14ac:dyDescent="0.25">
      <c r="A33" s="916"/>
      <c r="B33" s="741"/>
      <c r="C33" s="741"/>
      <c r="D33" s="741"/>
      <c r="E33" s="741"/>
      <c r="F33" s="917"/>
      <c r="G33" s="1050"/>
      <c r="H33" s="1058"/>
      <c r="I33" s="1051"/>
      <c r="J33" s="1580"/>
      <c r="K33" s="1058"/>
      <c r="L33" s="917"/>
    </row>
    <row r="34" spans="1:13" ht="15.75" x14ac:dyDescent="0.25">
      <c r="A34" s="739" t="s">
        <v>630</v>
      </c>
      <c r="B34" s="733"/>
      <c r="C34" s="1146">
        <v>2014</v>
      </c>
      <c r="D34" s="1146">
        <v>2015</v>
      </c>
      <c r="E34" s="1146">
        <v>2016</v>
      </c>
      <c r="F34" s="1146">
        <v>2017</v>
      </c>
      <c r="G34" s="1048">
        <v>2018</v>
      </c>
      <c r="H34" s="1148">
        <v>2019</v>
      </c>
      <c r="I34" s="1557">
        <v>2020</v>
      </c>
      <c r="J34" s="1578">
        <v>2021</v>
      </c>
      <c r="K34" s="1148">
        <v>2022</v>
      </c>
      <c r="L34" s="1149" t="s">
        <v>133</v>
      </c>
    </row>
    <row r="35" spans="1:13" x14ac:dyDescent="0.25">
      <c r="A35" s="736" t="s">
        <v>2</v>
      </c>
      <c r="B35" s="733"/>
      <c r="C35" s="1003"/>
      <c r="D35" s="1003"/>
      <c r="E35" s="1003"/>
      <c r="F35" s="737">
        <f t="shared" ref="F35:L35" si="5">F36+F37+F38</f>
        <v>0</v>
      </c>
      <c r="G35" s="1044">
        <f t="shared" si="5"/>
        <v>12543.61526</v>
      </c>
      <c r="H35" s="1055">
        <f t="shared" si="5"/>
        <v>13237.28</v>
      </c>
      <c r="I35" s="1462">
        <f t="shared" si="5"/>
        <v>14462.09</v>
      </c>
      <c r="J35" s="1575">
        <f t="shared" si="5"/>
        <v>13191.3</v>
      </c>
      <c r="K35" s="1055">
        <f t="shared" si="5"/>
        <v>13202.344999999999</v>
      </c>
      <c r="L35" s="737">
        <f t="shared" si="5"/>
        <v>66636.630259999991</v>
      </c>
    </row>
    <row r="36" spans="1:13" x14ac:dyDescent="0.25">
      <c r="A36" s="736" t="s">
        <v>3</v>
      </c>
      <c r="B36" s="733"/>
      <c r="C36" s="733"/>
      <c r="D36" s="733"/>
      <c r="E36" s="733"/>
      <c r="F36" s="738"/>
      <c r="G36" s="1045">
        <v>750.1</v>
      </c>
      <c r="H36" s="1056">
        <v>0</v>
      </c>
      <c r="I36" s="1064">
        <v>1115.24</v>
      </c>
      <c r="J36" s="1576">
        <v>0</v>
      </c>
      <c r="K36" s="1056"/>
      <c r="L36" s="738">
        <f>C36+D36+E36+F36+G36+H36+I36+J36+K36</f>
        <v>1865.3400000000001</v>
      </c>
    </row>
    <row r="37" spans="1:13" x14ac:dyDescent="0.25">
      <c r="A37" s="736" t="s">
        <v>4</v>
      </c>
      <c r="B37" s="733"/>
      <c r="C37" s="733"/>
      <c r="D37" s="733"/>
      <c r="E37" s="733"/>
      <c r="F37" s="738"/>
      <c r="G37" s="1045"/>
      <c r="H37" s="1056"/>
      <c r="I37" s="1064"/>
      <c r="J37" s="1576"/>
      <c r="K37" s="1056"/>
      <c r="L37" s="738">
        <f>C37+D37+E37+F37+G37+H37+I37+J37+K37</f>
        <v>0</v>
      </c>
    </row>
    <row r="38" spans="1:13" x14ac:dyDescent="0.25">
      <c r="A38" s="736" t="s">
        <v>5</v>
      </c>
      <c r="B38" s="733"/>
      <c r="C38" s="733"/>
      <c r="D38" s="733"/>
      <c r="E38" s="733"/>
      <c r="F38" s="738"/>
      <c r="G38" s="1045">
        <f>10759.45+57+14.15+484.8+478.11526</f>
        <v>11793.51526</v>
      </c>
      <c r="H38" s="1056">
        <v>13237.28</v>
      </c>
      <c r="I38" s="1064">
        <v>13346.85</v>
      </c>
      <c r="J38" s="1576">
        <v>13191.3</v>
      </c>
      <c r="K38" s="1056">
        <v>13202.344999999999</v>
      </c>
      <c r="L38" s="738">
        <f>C38+D38+E38+F38+G38+H38+I38+J38+K38</f>
        <v>64771.290259999994</v>
      </c>
    </row>
    <row r="39" spans="1:13" x14ac:dyDescent="0.25">
      <c r="F39" s="745"/>
      <c r="G39" s="1046"/>
      <c r="H39" s="1476"/>
      <c r="I39" s="1047"/>
      <c r="J39" s="1577"/>
      <c r="K39" s="1057"/>
      <c r="L39" s="745"/>
    </row>
    <row r="40" spans="1:13" ht="15.75" x14ac:dyDescent="0.25">
      <c r="A40" s="739"/>
      <c r="B40" s="733"/>
      <c r="C40" s="1146">
        <v>2014</v>
      </c>
      <c r="D40" s="1146">
        <v>2015</v>
      </c>
      <c r="E40" s="1146">
        <v>2016</v>
      </c>
      <c r="F40" s="1146">
        <v>2017</v>
      </c>
      <c r="G40" s="1048">
        <v>2018</v>
      </c>
      <c r="H40" s="1148">
        <v>2019</v>
      </c>
      <c r="I40" s="1147">
        <v>2020</v>
      </c>
      <c r="J40" s="1578">
        <v>2021</v>
      </c>
      <c r="K40" s="1148">
        <v>2022</v>
      </c>
      <c r="L40" s="1150" t="s">
        <v>133</v>
      </c>
      <c r="M40" s="745"/>
    </row>
    <row r="41" spans="1:13" x14ac:dyDescent="0.25">
      <c r="A41" s="736" t="s">
        <v>2</v>
      </c>
      <c r="B41" s="733"/>
      <c r="C41" s="737">
        <f t="shared" ref="C41:J41" si="6">C42+C43+C44</f>
        <v>1193503.6400000001</v>
      </c>
      <c r="D41" s="737">
        <f t="shared" si="6"/>
        <v>1206554.513</v>
      </c>
      <c r="E41" s="737">
        <f t="shared" si="6"/>
        <v>1266541.0342999999</v>
      </c>
      <c r="F41" s="737">
        <f t="shared" si="6"/>
        <v>1384935.8800000001</v>
      </c>
      <c r="G41" s="1044">
        <f t="shared" si="6"/>
        <v>1526424.7546599999</v>
      </c>
      <c r="H41" s="1055">
        <f>H42+H43+H44+H45</f>
        <v>1709460.89</v>
      </c>
      <c r="I41" s="1462">
        <f>I42+I43+I44</f>
        <v>1850585.1099999999</v>
      </c>
      <c r="J41" s="1575">
        <f t="shared" si="6"/>
        <v>1877834.9279999998</v>
      </c>
      <c r="K41" s="1055">
        <f>K42+K43+K44+K45</f>
        <v>1780387.0779999997</v>
      </c>
      <c r="L41" s="737">
        <f>L42+L43+L44+L45</f>
        <v>13796227.827959999</v>
      </c>
    </row>
    <row r="42" spans="1:13" x14ac:dyDescent="0.25">
      <c r="A42" s="736" t="s">
        <v>3</v>
      </c>
      <c r="B42" s="733"/>
      <c r="C42" s="738">
        <f t="shared" ref="C42:K43" si="7">C5+C11+C18+C24+C30+C36</f>
        <v>722111.5</v>
      </c>
      <c r="D42" s="738">
        <f t="shared" si="7"/>
        <v>709320.01199999999</v>
      </c>
      <c r="E42" s="738">
        <f t="shared" si="7"/>
        <v>740971.9</v>
      </c>
      <c r="F42" s="738">
        <f t="shared" si="7"/>
        <v>805784.35000000009</v>
      </c>
      <c r="G42" s="1045">
        <f t="shared" si="7"/>
        <v>905637.93799999997</v>
      </c>
      <c r="H42" s="1056">
        <f t="shared" si="7"/>
        <v>1020509.3</v>
      </c>
      <c r="I42" s="1064">
        <f>I5+I11+I18+I24+I30+I36</f>
        <v>1109138.2550000001</v>
      </c>
      <c r="J42" s="1576">
        <f t="shared" si="7"/>
        <v>1109556.73</v>
      </c>
      <c r="K42" s="1056">
        <f t="shared" si="7"/>
        <v>1104423.8999999999</v>
      </c>
      <c r="L42" s="737">
        <f>C42+D42+E42+F42+G42+H42+I42+J42+K42</f>
        <v>8227453.8849999998</v>
      </c>
    </row>
    <row r="43" spans="1:13" x14ac:dyDescent="0.25">
      <c r="A43" s="736" t="s">
        <v>4</v>
      </c>
      <c r="B43" s="733"/>
      <c r="C43" s="738">
        <f t="shared" si="7"/>
        <v>0</v>
      </c>
      <c r="D43" s="738">
        <f t="shared" si="7"/>
        <v>1786.9</v>
      </c>
      <c r="E43" s="738">
        <f t="shared" si="7"/>
        <v>2386</v>
      </c>
      <c r="F43" s="738">
        <f t="shared" si="7"/>
        <v>0</v>
      </c>
      <c r="G43" s="1045">
        <f t="shared" si="7"/>
        <v>0</v>
      </c>
      <c r="H43" s="1056">
        <f t="shared" si="7"/>
        <v>4074.2</v>
      </c>
      <c r="I43" s="1064">
        <f t="shared" si="7"/>
        <v>46191.504999999997</v>
      </c>
      <c r="J43" s="1576">
        <f t="shared" si="7"/>
        <v>118575.8</v>
      </c>
      <c r="K43" s="1056">
        <f t="shared" si="7"/>
        <v>1125.6030000000001</v>
      </c>
      <c r="L43" s="737">
        <f>C43+D43+E43+F43+G43+H43+I43+J43+K43</f>
        <v>174140.008</v>
      </c>
    </row>
    <row r="44" spans="1:13" x14ac:dyDescent="0.25">
      <c r="A44" s="736" t="s">
        <v>5</v>
      </c>
      <c r="B44" s="733"/>
      <c r="C44" s="737">
        <f t="shared" ref="C44:I44" si="8">C7+C13+C20+C26+C32+C38</f>
        <v>471392.14</v>
      </c>
      <c r="D44" s="737">
        <f t="shared" si="8"/>
        <v>495447.60100000002</v>
      </c>
      <c r="E44" s="737">
        <f t="shared" si="8"/>
        <v>523183.13430000003</v>
      </c>
      <c r="F44" s="737">
        <f t="shared" si="8"/>
        <v>579151.53</v>
      </c>
      <c r="G44" s="1044">
        <f t="shared" si="8"/>
        <v>620786.81665999989</v>
      </c>
      <c r="H44" s="1055">
        <f>H7+H13+H20+H26+H32+H38</f>
        <v>684203.99</v>
      </c>
      <c r="I44" s="1462">
        <f t="shared" si="8"/>
        <v>695255.35</v>
      </c>
      <c r="J44" s="1575">
        <f>J38+J32+J26+J20+J13+J7</f>
        <v>649702.39799999993</v>
      </c>
      <c r="K44" s="1055">
        <f>K38+K32+K26+K20+K13+K7</f>
        <v>674837.57500000007</v>
      </c>
      <c r="L44" s="737">
        <f>C44+D44+E44+F44+G44+H44+I44+J44+K44</f>
        <v>5393960.5349599998</v>
      </c>
    </row>
    <row r="45" spans="1:13" x14ac:dyDescent="0.25">
      <c r="A45" s="736" t="s">
        <v>702</v>
      </c>
      <c r="B45" s="733"/>
      <c r="C45" s="737"/>
      <c r="D45" s="737"/>
      <c r="E45" s="737"/>
      <c r="F45" s="737"/>
      <c r="G45" s="1044"/>
      <c r="H45" s="1055">
        <f>H14</f>
        <v>673.4</v>
      </c>
      <c r="I45" s="1556"/>
      <c r="J45" s="1575"/>
      <c r="K45" s="1055"/>
      <c r="L45" s="737">
        <f>C45+D45+E45+F45+G45+H45+I45+J45+K45</f>
        <v>673.4</v>
      </c>
    </row>
    <row r="46" spans="1:13" x14ac:dyDescent="0.25">
      <c r="E46" s="1091"/>
      <c r="F46" s="1057"/>
      <c r="G46" s="1057"/>
      <c r="H46" s="1057"/>
      <c r="I46" s="1060">
        <v>691875.4</v>
      </c>
      <c r="J46" s="1060">
        <v>649702.40000000002</v>
      </c>
      <c r="K46" s="1060">
        <v>674837.6</v>
      </c>
      <c r="L46" s="1092"/>
      <c r="M46" s="1018"/>
    </row>
    <row r="47" spans="1:13" x14ac:dyDescent="0.25">
      <c r="D47" s="746"/>
      <c r="E47" s="1092"/>
      <c r="F47" s="1093"/>
      <c r="G47" s="1094"/>
      <c r="H47" s="1475" t="s">
        <v>5</v>
      </c>
      <c r="I47" s="1095">
        <f>I44-I46</f>
        <v>3379.9499999999534</v>
      </c>
      <c r="J47" s="1095">
        <f t="shared" ref="J47:K47" si="9">J44-J46</f>
        <v>-2.0000000949949026E-3</v>
      </c>
      <c r="K47" s="1095">
        <f t="shared" si="9"/>
        <v>-2.4999999906867743E-2</v>
      </c>
      <c r="L47" s="1096"/>
    </row>
    <row r="48" spans="1:13" x14ac:dyDescent="0.25">
      <c r="E48" s="1059"/>
      <c r="F48" s="1057"/>
      <c r="G48" s="1097"/>
      <c r="H48" s="1475"/>
      <c r="I48" s="1098"/>
      <c r="J48" s="1098"/>
      <c r="K48" s="1098"/>
      <c r="L48" s="1059"/>
    </row>
    <row r="49" spans="5:12" x14ac:dyDescent="0.25">
      <c r="E49" s="1057"/>
      <c r="F49" s="1099"/>
      <c r="G49" s="1099"/>
      <c r="H49" s="1475" t="s">
        <v>3</v>
      </c>
      <c r="I49" s="1057"/>
      <c r="J49" s="1057"/>
      <c r="K49" s="1057"/>
      <c r="L49" s="1057"/>
    </row>
    <row r="50" spans="5:12" x14ac:dyDescent="0.25">
      <c r="E50" s="1059"/>
      <c r="F50" s="1059"/>
      <c r="G50" s="1100"/>
      <c r="H50" s="1095"/>
      <c r="I50" s="1101"/>
      <c r="J50" s="1101"/>
      <c r="K50" s="1101"/>
      <c r="L50" s="1101"/>
    </row>
    <row r="51" spans="5:12" x14ac:dyDescent="0.25">
      <c r="E51" s="1059"/>
      <c r="F51" s="1059"/>
      <c r="G51" s="1102"/>
      <c r="H51" s="1475" t="s">
        <v>4</v>
      </c>
      <c r="I51" s="1059"/>
      <c r="J51" s="1059"/>
      <c r="K51" s="1059"/>
      <c r="L51" s="1059"/>
    </row>
    <row r="52" spans="5:12" x14ac:dyDescent="0.25">
      <c r="E52" s="1059"/>
      <c r="F52" s="1059"/>
      <c r="G52" s="1059"/>
      <c r="H52" s="1057"/>
      <c r="I52" s="1057"/>
      <c r="J52" s="1059"/>
      <c r="K52" s="1059"/>
      <c r="L52" s="1059"/>
    </row>
    <row r="53" spans="5:12" x14ac:dyDescent="0.25">
      <c r="E53" s="1059"/>
      <c r="F53" s="1059"/>
      <c r="G53" s="1059"/>
      <c r="H53" s="1057"/>
      <c r="I53" s="1059"/>
      <c r="J53" s="1059"/>
      <c r="K53" s="1059"/>
      <c r="L53" s="1059"/>
    </row>
    <row r="54" spans="5:12" x14ac:dyDescent="0.25">
      <c r="E54" s="1059"/>
      <c r="F54" s="1059"/>
      <c r="G54" s="1059"/>
      <c r="H54" s="1475" t="s">
        <v>747</v>
      </c>
      <c r="I54" s="1057"/>
      <c r="J54" s="1059"/>
      <c r="K54" s="1059"/>
      <c r="L54" s="1059"/>
    </row>
    <row r="55" spans="5:12" x14ac:dyDescent="0.25">
      <c r="E55" s="1059"/>
      <c r="F55" s="1059"/>
      <c r="G55" s="1059"/>
      <c r="H55" s="1055"/>
      <c r="I55" s="1059"/>
      <c r="J55" s="1059"/>
      <c r="K55" s="1059"/>
      <c r="L55" s="1059"/>
    </row>
  </sheetData>
  <pageMargins left="0.11811023622047245" right="0" top="0.35433070866141736" bottom="0.35433070866141736" header="0.11811023622047245" footer="0.1181102362204724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14999847407452621"/>
  </sheetPr>
  <dimension ref="A1:BS119"/>
  <sheetViews>
    <sheetView tabSelected="1" view="pageBreakPreview" zoomScale="90" zoomScaleNormal="100" zoomScaleSheetLayoutView="90" workbookViewId="0">
      <pane xSplit="4" ySplit="10" topLeftCell="AI11" activePane="bottomRight" state="frozen"/>
      <selection pane="topRight" activeCell="E1" sqref="E1"/>
      <selection pane="bottomLeft" activeCell="A5" sqref="A5"/>
      <selection pane="bottomRight" activeCell="AO3" sqref="AO3"/>
    </sheetView>
  </sheetViews>
  <sheetFormatPr defaultColWidth="8.85546875" defaultRowHeight="12" x14ac:dyDescent="0.2"/>
  <cols>
    <col min="1" max="1" width="6.85546875" style="75" customWidth="1"/>
    <col min="2" max="2" width="38.28515625" style="77" customWidth="1"/>
    <col min="3" max="3" width="8" style="76" customWidth="1"/>
    <col min="4" max="4" width="5.7109375" style="76" hidden="1" customWidth="1"/>
    <col min="5" max="5" width="13.7109375" style="76" customWidth="1"/>
    <col min="6" max="6" width="8.85546875" style="76" customWidth="1"/>
    <col min="7" max="7" width="10" style="119" customWidth="1"/>
    <col min="8" max="8" width="10.28515625" style="119" customWidth="1"/>
    <col min="9" max="9" width="7" style="78" customWidth="1"/>
    <col min="10" max="10" width="4.140625" style="78" customWidth="1"/>
    <col min="11" max="11" width="5.7109375" style="78" customWidth="1"/>
    <col min="12" max="12" width="5.85546875" style="77" customWidth="1"/>
    <col min="13" max="13" width="6.85546875" style="76" customWidth="1"/>
    <col min="14" max="14" width="6" style="76" customWidth="1"/>
    <col min="15" max="15" width="5.85546875" style="76" customWidth="1"/>
    <col min="16" max="16" width="5.42578125" style="76" customWidth="1"/>
    <col min="17" max="17" width="6.7109375" style="95" customWidth="1"/>
    <col min="18" max="18" width="4" style="95" customWidth="1"/>
    <col min="19" max="19" width="5.85546875" style="95" customWidth="1"/>
    <col min="20" max="20" width="5.28515625" style="95" customWidth="1"/>
    <col min="21" max="21" width="7.140625" style="95" customWidth="1"/>
    <col min="22" max="22" width="4.140625" style="95" customWidth="1"/>
    <col min="23" max="23" width="5.85546875" style="95" customWidth="1"/>
    <col min="24" max="24" width="6" style="95" customWidth="1"/>
    <col min="25" max="25" width="6.85546875" style="76" customWidth="1"/>
    <col min="26" max="26" width="4" style="76" customWidth="1"/>
    <col min="27" max="27" width="6" style="76" customWidth="1"/>
    <col min="28" max="28" width="6.5703125" style="76" customWidth="1"/>
    <col min="29" max="29" width="8.85546875" style="76" hidden="1" customWidth="1"/>
    <col min="30" max="30" width="10" style="76" hidden="1" customWidth="1"/>
    <col min="31" max="31" width="10.42578125" style="76" customWidth="1"/>
    <col min="32" max="32" width="7.85546875" style="76" customWidth="1"/>
    <col min="33" max="34" width="10.28515625" style="76" customWidth="1"/>
    <col min="35" max="35" width="11.140625" style="76" customWidth="1"/>
    <col min="36" max="36" width="8.28515625" style="76" customWidth="1"/>
    <col min="37" max="38" width="10.7109375" style="76" customWidth="1"/>
    <col min="39" max="39" width="10.5703125" style="76" customWidth="1"/>
    <col min="40" max="40" width="7" style="76" customWidth="1"/>
    <col min="41" max="41" width="10.28515625" style="76" customWidth="1"/>
    <col min="42" max="43" width="10" style="76" customWidth="1"/>
    <col min="44" max="44" width="5.140625" style="76" customWidth="1"/>
    <col min="45" max="45" width="9" style="76" customWidth="1"/>
    <col min="46" max="46" width="9.28515625" style="76" customWidth="1"/>
    <col min="47" max="47" width="12" style="76" customWidth="1"/>
    <col min="48" max="48" width="12.28515625" style="76" customWidth="1"/>
    <col min="49" max="49" width="12" style="76" customWidth="1"/>
    <col min="50" max="50" width="10.28515625" style="76" customWidth="1"/>
    <col min="51" max="51" width="12.5703125" style="76" customWidth="1"/>
    <col min="52" max="52" width="13.28515625" style="76" customWidth="1"/>
    <col min="53" max="53" width="10.28515625" style="76" customWidth="1"/>
    <col min="54" max="54" width="11.5703125" style="76" customWidth="1"/>
    <col min="55" max="56" width="8.85546875" style="76"/>
    <col min="57" max="57" width="10.85546875" style="76" customWidth="1"/>
    <col min="58" max="58" width="10.140625" style="76" customWidth="1"/>
    <col min="59" max="59" width="12.85546875" style="76" customWidth="1"/>
    <col min="60" max="60" width="8.85546875" style="76"/>
    <col min="61" max="61" width="11.42578125" style="76" customWidth="1"/>
    <col min="62" max="62" width="10.42578125" style="76" customWidth="1"/>
    <col min="63" max="63" width="10.7109375" style="76" customWidth="1"/>
    <col min="64" max="64" width="8.85546875" style="76"/>
    <col min="65" max="65" width="10.85546875" style="76" customWidth="1"/>
    <col min="66" max="66" width="10.42578125" style="76" customWidth="1"/>
    <col min="67" max="67" width="10.5703125" style="76" customWidth="1"/>
    <col min="68" max="16384" width="8.85546875" style="76"/>
  </cols>
  <sheetData>
    <row r="1" spans="1:71" ht="15.75" x14ac:dyDescent="0.25">
      <c r="AO1" s="1566" t="s">
        <v>803</v>
      </c>
      <c r="AP1" s="1566"/>
      <c r="AQ1" s="1566"/>
      <c r="AR1" s="1566"/>
      <c r="AS1" s="1566"/>
    </row>
    <row r="2" spans="1:71" ht="15.75" x14ac:dyDescent="0.25">
      <c r="AO2" s="1566" t="s">
        <v>804</v>
      </c>
      <c r="AP2" s="1566"/>
      <c r="AQ2" s="1566"/>
      <c r="AR2" s="1566"/>
      <c r="AS2" s="1566"/>
    </row>
    <row r="3" spans="1:71" ht="15.75" x14ac:dyDescent="0.25">
      <c r="AO3" s="1566" t="s">
        <v>811</v>
      </c>
      <c r="AP3" s="1566"/>
      <c r="AQ3" s="1566"/>
      <c r="AR3" s="1566"/>
      <c r="AS3" s="1566"/>
    </row>
    <row r="5" spans="1:71" ht="15" customHeight="1" x14ac:dyDescent="0.25">
      <c r="B5" s="1588"/>
      <c r="C5" s="1588"/>
      <c r="D5" s="1588"/>
      <c r="E5" s="1588"/>
      <c r="F5" s="1588"/>
      <c r="G5" s="1588"/>
      <c r="H5" s="1588"/>
      <c r="I5" s="1588"/>
      <c r="J5" s="1588"/>
      <c r="K5" s="1588"/>
      <c r="L5" s="1588"/>
      <c r="M5" s="1588"/>
      <c r="N5" s="1588"/>
      <c r="O5" s="1588"/>
      <c r="P5" s="1588"/>
      <c r="Q5" s="1588"/>
      <c r="R5" s="1588"/>
      <c r="S5" s="1588"/>
      <c r="T5" s="1588"/>
      <c r="U5" s="1588"/>
      <c r="V5" s="1588"/>
      <c r="W5" s="1588"/>
      <c r="X5" s="1588"/>
      <c r="AJ5" s="1581" t="s">
        <v>164</v>
      </c>
      <c r="AK5" s="1582"/>
      <c r="AL5" s="1582"/>
      <c r="AM5" s="1582"/>
      <c r="AN5" s="1582"/>
      <c r="AO5" s="1582"/>
      <c r="AP5" s="1582"/>
      <c r="AQ5" s="1582"/>
      <c r="AR5" s="1582"/>
      <c r="AS5" s="1582"/>
      <c r="AT5" s="1582"/>
      <c r="AW5" s="1604" t="s">
        <v>740</v>
      </c>
      <c r="AX5" s="1605"/>
      <c r="AY5" s="1605"/>
      <c r="AZ5" s="1606" t="s">
        <v>741</v>
      </c>
      <c r="BA5" s="1607"/>
      <c r="BB5" s="1607"/>
      <c r="BE5" s="1608" t="s">
        <v>742</v>
      </c>
      <c r="BF5" s="1609"/>
      <c r="BG5" s="1610"/>
      <c r="BH5" s="1425"/>
      <c r="BI5" s="1608" t="s">
        <v>743</v>
      </c>
      <c r="BJ5" s="1609"/>
      <c r="BK5" s="1610"/>
      <c r="BL5" s="1425"/>
      <c r="BM5" s="1608" t="s">
        <v>744</v>
      </c>
      <c r="BN5" s="1609"/>
      <c r="BO5" s="1610"/>
      <c r="BP5" s="1602" t="s">
        <v>748</v>
      </c>
      <c r="BQ5" s="1603"/>
      <c r="BR5" s="1603"/>
      <c r="BS5" s="1603"/>
    </row>
    <row r="6" spans="1:71" ht="8.25" customHeight="1" x14ac:dyDescent="0.2">
      <c r="B6" s="1412"/>
      <c r="C6" s="1412"/>
      <c r="D6" s="1412"/>
      <c r="E6" s="1412"/>
      <c r="F6" s="1412"/>
      <c r="G6" s="1412"/>
      <c r="H6" s="1412"/>
      <c r="I6" s="1412"/>
      <c r="J6" s="1412"/>
      <c r="K6" s="1412"/>
      <c r="L6" s="1412"/>
      <c r="M6" s="1412"/>
      <c r="N6" s="1412"/>
      <c r="O6" s="1412"/>
      <c r="P6" s="1412"/>
      <c r="Q6" s="1412"/>
      <c r="R6" s="1412"/>
      <c r="S6" s="1412"/>
      <c r="T6" s="1412"/>
      <c r="U6" s="1412"/>
      <c r="V6" s="1412"/>
      <c r="W6" s="1412"/>
      <c r="X6" s="1412"/>
      <c r="AW6" s="1417"/>
      <c r="AX6" s="1419"/>
      <c r="AY6" s="1419"/>
      <c r="AZ6" s="1420"/>
      <c r="BA6" s="1421"/>
      <c r="BB6" s="1421"/>
      <c r="BE6" s="1422">
        <v>2020</v>
      </c>
      <c r="BF6" s="1425">
        <v>2021</v>
      </c>
      <c r="BG6" s="1426">
        <v>2022</v>
      </c>
      <c r="BH6" s="1425"/>
      <c r="BI6" s="1422">
        <v>2020</v>
      </c>
      <c r="BJ6" s="1425">
        <v>2021</v>
      </c>
      <c r="BK6" s="1426">
        <v>2022</v>
      </c>
      <c r="BL6" s="1425"/>
      <c r="BM6" s="1422">
        <v>2020</v>
      </c>
      <c r="BN6" s="1425">
        <v>2021</v>
      </c>
      <c r="BO6" s="1426">
        <v>2022</v>
      </c>
      <c r="BP6" s="1425"/>
      <c r="BQ6" s="1422">
        <v>2020</v>
      </c>
      <c r="BR6" s="1425">
        <v>2021</v>
      </c>
      <c r="BS6" s="1426">
        <v>2022</v>
      </c>
    </row>
    <row r="7" spans="1:71" ht="16.5" customHeight="1" x14ac:dyDescent="0.3">
      <c r="B7" s="1585" t="s">
        <v>297</v>
      </c>
      <c r="C7" s="1585"/>
      <c r="D7" s="1585"/>
      <c r="E7" s="1585"/>
      <c r="F7" s="1585"/>
      <c r="G7" s="1585"/>
      <c r="H7" s="1585"/>
      <c r="I7" s="1585"/>
      <c r="J7" s="1585"/>
      <c r="K7" s="1585"/>
      <c r="L7" s="1585"/>
      <c r="M7" s="1585"/>
      <c r="N7" s="1585"/>
      <c r="O7" s="1585"/>
      <c r="P7" s="1585"/>
      <c r="Q7" s="1585"/>
      <c r="R7" s="1585"/>
      <c r="S7" s="1585"/>
      <c r="T7" s="1585"/>
      <c r="U7" s="1585"/>
      <c r="V7" s="1585"/>
      <c r="W7" s="1585"/>
      <c r="X7" s="1585"/>
      <c r="AW7" s="1417">
        <v>2020</v>
      </c>
      <c r="AX7" s="1417">
        <v>2021</v>
      </c>
      <c r="AY7" s="1417">
        <v>2022</v>
      </c>
      <c r="AZ7" s="1417">
        <v>2020</v>
      </c>
      <c r="BA7" s="1417">
        <v>2021</v>
      </c>
      <c r="BB7" s="1417">
        <v>2022</v>
      </c>
      <c r="BD7" s="1423">
        <v>182010</v>
      </c>
      <c r="BE7" s="1428">
        <v>164135.78</v>
      </c>
      <c r="BF7" s="1428">
        <v>166797.592</v>
      </c>
      <c r="BG7" s="1428">
        <v>169593.98</v>
      </c>
      <c r="BH7" s="1424">
        <v>182020</v>
      </c>
      <c r="BI7" s="1428">
        <v>129985.2</v>
      </c>
      <c r="BJ7" s="1428">
        <v>130805.90919999999</v>
      </c>
      <c r="BK7" s="1428">
        <v>143810.18831999999</v>
      </c>
      <c r="BL7" s="1424">
        <v>182030</v>
      </c>
      <c r="BM7" s="1428">
        <v>60883</v>
      </c>
      <c r="BN7" s="1428">
        <v>61398.887999999999</v>
      </c>
      <c r="BO7" s="1428">
        <v>62059.44</v>
      </c>
      <c r="BP7" s="1424">
        <v>282340</v>
      </c>
      <c r="BQ7" s="1428">
        <v>16540.7</v>
      </c>
      <c r="BR7" s="1428">
        <v>16706.04</v>
      </c>
      <c r="BS7" s="1428">
        <v>16873.75</v>
      </c>
    </row>
    <row r="8" spans="1:71" ht="6" customHeight="1" x14ac:dyDescent="0.2">
      <c r="C8" s="77"/>
      <c r="D8" s="77"/>
      <c r="E8" s="77"/>
      <c r="F8" s="77"/>
      <c r="G8" s="78"/>
      <c r="H8" s="78"/>
      <c r="AW8" s="1418">
        <v>336021.4</v>
      </c>
      <c r="AX8" s="1418">
        <v>348840.7</v>
      </c>
      <c r="AY8" s="1418">
        <v>361351.7</v>
      </c>
      <c r="AZ8" s="1416">
        <v>437660</v>
      </c>
      <c r="BA8" s="1416">
        <v>453715.6</v>
      </c>
      <c r="BB8" s="1416">
        <v>469650.5</v>
      </c>
      <c r="BD8" s="1423" t="s">
        <v>745</v>
      </c>
      <c r="BE8" s="1428">
        <v>2901.6</v>
      </c>
      <c r="BF8" s="1428">
        <v>2901.6</v>
      </c>
      <c r="BG8" s="1428">
        <v>2901.6</v>
      </c>
      <c r="BH8" s="1423" t="s">
        <v>745</v>
      </c>
      <c r="BI8" s="1428">
        <v>678.8</v>
      </c>
      <c r="BJ8" s="1428">
        <v>678.8</v>
      </c>
      <c r="BK8" s="1428">
        <v>678.8</v>
      </c>
      <c r="BL8" s="1423" t="s">
        <v>745</v>
      </c>
      <c r="BM8" s="1428">
        <v>3024.3</v>
      </c>
      <c r="BN8" s="1428">
        <v>3024.3</v>
      </c>
      <c r="BO8" s="1428">
        <v>3024.3</v>
      </c>
      <c r="BP8" s="1423" t="s">
        <v>745</v>
      </c>
      <c r="BQ8" s="1428">
        <v>144.5</v>
      </c>
      <c r="BR8" s="1428">
        <v>144.5</v>
      </c>
      <c r="BS8" s="1428">
        <v>144.5</v>
      </c>
    </row>
    <row r="9" spans="1:71" ht="14.25" x14ac:dyDescent="0.2">
      <c r="A9" s="1590"/>
      <c r="B9" s="1591"/>
      <c r="C9" s="1592"/>
      <c r="D9" s="77"/>
      <c r="E9" s="1583" t="s">
        <v>156</v>
      </c>
      <c r="F9" s="1583"/>
      <c r="G9" s="1583"/>
      <c r="H9" s="1583"/>
      <c r="I9" s="1584">
        <v>2014</v>
      </c>
      <c r="J9" s="1584"/>
      <c r="K9" s="1593"/>
      <c r="L9" s="1593"/>
      <c r="M9" s="1594">
        <v>2015</v>
      </c>
      <c r="N9" s="1594"/>
      <c r="O9" s="1594"/>
      <c r="P9" s="1594"/>
      <c r="Q9" s="1589">
        <v>2016</v>
      </c>
      <c r="R9" s="1589"/>
      <c r="S9" s="1589"/>
      <c r="T9" s="1589"/>
      <c r="U9" s="1589">
        <v>2017</v>
      </c>
      <c r="V9" s="1589"/>
      <c r="W9" s="1589"/>
      <c r="X9" s="1589"/>
      <c r="Y9" s="1584">
        <v>2018</v>
      </c>
      <c r="Z9" s="1584"/>
      <c r="AA9" s="1584"/>
      <c r="AB9" s="1584"/>
      <c r="AE9" s="1583">
        <v>2019</v>
      </c>
      <c r="AF9" s="1583"/>
      <c r="AG9" s="1583"/>
      <c r="AH9" s="1583"/>
      <c r="AI9" s="1583">
        <v>2020</v>
      </c>
      <c r="AJ9" s="1583"/>
      <c r="AK9" s="1583"/>
      <c r="AL9" s="1601"/>
      <c r="AM9" s="1599">
        <v>2021</v>
      </c>
      <c r="AN9" s="1600"/>
      <c r="AO9" s="1600"/>
      <c r="AP9" s="1600"/>
      <c r="AQ9" s="1599">
        <v>2022</v>
      </c>
      <c r="AR9" s="1600"/>
      <c r="AS9" s="1600"/>
      <c r="AT9" s="1600"/>
      <c r="AW9" s="1418">
        <v>55142.400000000001</v>
      </c>
      <c r="AX9" s="1418">
        <v>55142.400000000001</v>
      </c>
      <c r="AY9" s="1418">
        <v>55142.400000000001</v>
      </c>
      <c r="AZ9" s="1416">
        <v>12900.7</v>
      </c>
      <c r="BA9" s="1416">
        <v>12900.7</v>
      </c>
      <c r="BB9" s="1416">
        <v>12900.7</v>
      </c>
      <c r="BD9" s="1423" t="s">
        <v>746</v>
      </c>
      <c r="BE9" s="1428">
        <v>93761.4</v>
      </c>
      <c r="BF9" s="1428">
        <v>93761.4</v>
      </c>
      <c r="BG9" s="1428">
        <v>95115.9</v>
      </c>
      <c r="BH9" s="1423" t="s">
        <v>746</v>
      </c>
      <c r="BI9" s="1428">
        <v>22203.8</v>
      </c>
      <c r="BJ9" s="1428">
        <v>22203.8</v>
      </c>
      <c r="BK9" s="1428">
        <v>22203.8</v>
      </c>
      <c r="BL9" s="1423" t="s">
        <v>746</v>
      </c>
      <c r="BM9" s="1428">
        <v>56544.800000000003</v>
      </c>
      <c r="BN9" s="1428">
        <v>56544.800000000003</v>
      </c>
      <c r="BO9" s="1428">
        <v>56544.800000000003</v>
      </c>
      <c r="BP9" s="1423" t="s">
        <v>746</v>
      </c>
      <c r="BQ9" s="1428">
        <v>3676.4</v>
      </c>
      <c r="BR9" s="1428">
        <v>3676.4</v>
      </c>
      <c r="BS9" s="1428">
        <v>3676.4</v>
      </c>
    </row>
    <row r="10" spans="1:71" ht="24.75" thickBot="1" x14ac:dyDescent="0.25">
      <c r="A10" s="79"/>
      <c r="B10" s="80" t="s">
        <v>0</v>
      </c>
      <c r="C10" s="72" t="s">
        <v>15</v>
      </c>
      <c r="D10" s="72"/>
      <c r="E10" s="179" t="s">
        <v>145</v>
      </c>
      <c r="F10" s="180" t="s">
        <v>4</v>
      </c>
      <c r="G10" s="181" t="s">
        <v>3</v>
      </c>
      <c r="H10" s="182" t="s">
        <v>5</v>
      </c>
      <c r="I10" s="1229" t="s">
        <v>145</v>
      </c>
      <c r="J10" s="1230" t="s">
        <v>4</v>
      </c>
      <c r="K10" s="1230" t="s">
        <v>3</v>
      </c>
      <c r="L10" s="1231" t="s">
        <v>5</v>
      </c>
      <c r="M10" s="1231" t="s">
        <v>145</v>
      </c>
      <c r="N10" s="1231" t="s">
        <v>4</v>
      </c>
      <c r="O10" s="1231" t="s">
        <v>3</v>
      </c>
      <c r="P10" s="1231" t="s">
        <v>5</v>
      </c>
      <c r="Q10" s="1232" t="s">
        <v>145</v>
      </c>
      <c r="R10" s="1232" t="s">
        <v>4</v>
      </c>
      <c r="S10" s="1232" t="s">
        <v>3</v>
      </c>
      <c r="T10" s="1232" t="s">
        <v>5</v>
      </c>
      <c r="U10" s="1232" t="s">
        <v>145</v>
      </c>
      <c r="V10" s="1232" t="s">
        <v>4</v>
      </c>
      <c r="W10" s="1232" t="s">
        <v>3</v>
      </c>
      <c r="X10" s="1232" t="s">
        <v>5</v>
      </c>
      <c r="Y10" s="1231" t="s">
        <v>145</v>
      </c>
      <c r="Z10" s="1231" t="s">
        <v>4</v>
      </c>
      <c r="AA10" s="1231" t="s">
        <v>3</v>
      </c>
      <c r="AB10" s="1231" t="s">
        <v>5</v>
      </c>
      <c r="AE10" s="183" t="s">
        <v>145</v>
      </c>
      <c r="AF10" s="183" t="s">
        <v>4</v>
      </c>
      <c r="AG10" s="183" t="s">
        <v>3</v>
      </c>
      <c r="AH10" s="183" t="s">
        <v>5</v>
      </c>
      <c r="AI10" s="183" t="s">
        <v>145</v>
      </c>
      <c r="AJ10" s="183" t="s">
        <v>4</v>
      </c>
      <c r="AK10" s="183" t="s">
        <v>3</v>
      </c>
      <c r="AL10" s="935" t="s">
        <v>5</v>
      </c>
      <c r="AM10" s="183" t="s">
        <v>145</v>
      </c>
      <c r="AN10" s="183" t="s">
        <v>4</v>
      </c>
      <c r="AO10" s="183" t="s">
        <v>3</v>
      </c>
      <c r="AP10" s="183" t="s">
        <v>5</v>
      </c>
      <c r="AQ10" s="183" t="s">
        <v>145</v>
      </c>
      <c r="AR10" s="183" t="s">
        <v>4</v>
      </c>
      <c r="AS10" s="183" t="s">
        <v>3</v>
      </c>
      <c r="AT10" s="183" t="s">
        <v>5</v>
      </c>
      <c r="AW10" s="1427">
        <f t="shared" ref="AW10:BB10" si="0">AW8+AW9</f>
        <v>391163.80000000005</v>
      </c>
      <c r="AX10" s="1427">
        <f t="shared" si="0"/>
        <v>403983.10000000003</v>
      </c>
      <c r="AY10" s="1427">
        <f t="shared" si="0"/>
        <v>416494.10000000003</v>
      </c>
      <c r="AZ10" s="1427">
        <f t="shared" si="0"/>
        <v>450560.7</v>
      </c>
      <c r="BA10" s="1427">
        <f t="shared" si="0"/>
        <v>466616.3</v>
      </c>
      <c r="BB10" s="1427">
        <f t="shared" si="0"/>
        <v>482551.2</v>
      </c>
      <c r="BD10" s="1423" t="s">
        <v>747</v>
      </c>
      <c r="BE10" s="1428">
        <f>BE7+BE8+BE9</f>
        <v>260798.78</v>
      </c>
      <c r="BF10" s="1428">
        <f>BF7+BF8+BF9</f>
        <v>263460.592</v>
      </c>
      <c r="BG10" s="1428">
        <f>BG7+BG8+BG9</f>
        <v>267611.48</v>
      </c>
      <c r="BH10" s="1424" t="s">
        <v>747</v>
      </c>
      <c r="BI10" s="1428">
        <f>BI7+BI8+BI9</f>
        <v>152867.79999999999</v>
      </c>
      <c r="BJ10" s="1428">
        <f>BJ7+BJ8+BJ9</f>
        <v>153688.50919999997</v>
      </c>
      <c r="BK10" s="1428">
        <f>BK7+BK8+BK9</f>
        <v>166692.78831999996</v>
      </c>
      <c r="BL10" s="1424" t="s">
        <v>747</v>
      </c>
      <c r="BM10" s="1428">
        <f>BM7+BM8+BM9</f>
        <v>120452.1</v>
      </c>
      <c r="BN10" s="1428">
        <f>BN7+BN8+BN9</f>
        <v>120967.98800000001</v>
      </c>
      <c r="BO10" s="1428">
        <f>BO7+BO8+BO9</f>
        <v>121628.54000000001</v>
      </c>
      <c r="BP10" s="1424" t="s">
        <v>747</v>
      </c>
      <c r="BQ10" s="1428">
        <f>BQ7+BQ8+BQ9</f>
        <v>20361.600000000002</v>
      </c>
      <c r="BR10" s="1428">
        <f>BR7+BR8+BR9</f>
        <v>20526.940000000002</v>
      </c>
      <c r="BS10" s="1428">
        <f>BS7+BS8+BS9</f>
        <v>20694.650000000001</v>
      </c>
    </row>
    <row r="11" spans="1:71" ht="45" customHeight="1" x14ac:dyDescent="0.2">
      <c r="A11" s="81"/>
      <c r="B11" s="82" t="s">
        <v>303</v>
      </c>
      <c r="C11" s="83"/>
      <c r="D11" s="84"/>
      <c r="E11" s="1429">
        <f t="shared" ref="E11:E26" si="1">F11+G11+H11</f>
        <v>11733820.11262</v>
      </c>
      <c r="F11" s="1429">
        <f t="shared" ref="F11:H12" si="2">J11+N11+R11+V11+Z11+AF11+AJ11+AN11+AR11</f>
        <v>8272.7999999999993</v>
      </c>
      <c r="G11" s="1429">
        <f t="shared" si="2"/>
        <v>7110969.98728</v>
      </c>
      <c r="H11" s="1429">
        <f t="shared" si="2"/>
        <v>4614577.32534</v>
      </c>
      <c r="I11" s="1244">
        <f>J11+K11+L11</f>
        <v>1033047.4</v>
      </c>
      <c r="J11" s="1244">
        <f>J12+J41+J89+J94+J107</f>
        <v>0</v>
      </c>
      <c r="K11" s="1244">
        <v>622862.75</v>
      </c>
      <c r="L11" s="1244">
        <v>410184.65</v>
      </c>
      <c r="M11" s="1244">
        <f t="shared" ref="M11:M29" si="3">N11+O11+P11</f>
        <v>1055009.75</v>
      </c>
      <c r="N11" s="1244">
        <v>1064.5</v>
      </c>
      <c r="O11" s="1244">
        <v>618044.1</v>
      </c>
      <c r="P11" s="1244">
        <v>435901.15</v>
      </c>
      <c r="Q11" s="1244">
        <f>R11+S11+T11</f>
        <v>1095664.9400000002</v>
      </c>
      <c r="R11" s="1244">
        <f>R12+R41+R89+R94+R107</f>
        <v>0</v>
      </c>
      <c r="S11" s="1244">
        <f>S12+S41+S89+S94+S107</f>
        <v>637626.94000000018</v>
      </c>
      <c r="T11" s="1244">
        <v>458038</v>
      </c>
      <c r="U11" s="1245">
        <f t="shared" ref="U11:U29" si="4">V11+W11+X11</f>
        <v>1200524.5652999999</v>
      </c>
      <c r="V11" s="1245">
        <f>V12+V41+V89+V94+V107</f>
        <v>0</v>
      </c>
      <c r="W11" s="1245">
        <f>W12+W41+W89+W94+W107</f>
        <v>696714.6852999999</v>
      </c>
      <c r="X11" s="1245">
        <v>503809.88</v>
      </c>
      <c r="Y11" s="1245">
        <f>Z11+AA11+AB11</f>
        <v>1324394.5069799998</v>
      </c>
      <c r="Z11" s="1245">
        <f>Z12+Z41+Z89+Z94+Z107</f>
        <v>0</v>
      </c>
      <c r="AA11" s="1245">
        <f>AA12+AA41+AA89+AA94+AA107</f>
        <v>797562.01697999984</v>
      </c>
      <c r="AB11" s="1245">
        <v>526832.49</v>
      </c>
      <c r="AE11" s="1429">
        <f t="shared" ref="AE11:AE17" si="5">AF11+AG11+AH11</f>
        <v>1444891.1956799999</v>
      </c>
      <c r="AF11" s="1429">
        <f>AF12+AF41+AF89+AF94+AF107</f>
        <v>1095.2</v>
      </c>
      <c r="AG11" s="1429">
        <f>AG12+AG41+AG89+AG94+AG107</f>
        <v>890464.80099999998</v>
      </c>
      <c r="AH11" s="1429">
        <f>AH12+AH41+AH89+AH94+AH107</f>
        <v>553331.19467999996</v>
      </c>
      <c r="AI11" s="1429">
        <f>AJ11+AK11+AL11-0.1</f>
        <v>1499451.5854399996</v>
      </c>
      <c r="AJ11" s="1429">
        <f>AJ12+AJ41+AJ89+AJ94+AJ107</f>
        <v>3797.5</v>
      </c>
      <c r="AK11" s="1429">
        <f>AK12+AK41+AK89+AK94+AK107+0.1</f>
        <v>920457.43799999997</v>
      </c>
      <c r="AL11" s="1432">
        <f>AL12+AL41+AL89+AL94+AL107</f>
        <v>575196.74743999983</v>
      </c>
      <c r="AM11" s="1429">
        <f t="shared" ref="AM11:AM27" si="6">AN11+AO11+AP11</f>
        <v>1507289.1247999999</v>
      </c>
      <c r="AN11" s="1429">
        <f>AN12+AN41+AN89+AN94+AN107</f>
        <v>2315.6</v>
      </c>
      <c r="AO11" s="1429">
        <f>AO12+AO41+AO89+AO94+AO107</f>
        <v>949395.67799999984</v>
      </c>
      <c r="AP11" s="1429">
        <f>AP12+AP41+AP89+AP94+AP107</f>
        <v>555577.84680000006</v>
      </c>
      <c r="AQ11" s="1429">
        <f t="shared" ref="AQ11:AQ27" si="7">AR11+AS11+AT11</f>
        <v>1573546.9444200001</v>
      </c>
      <c r="AR11" s="1429">
        <f>AR12+AR41+AR89+AR94+AR107</f>
        <v>0</v>
      </c>
      <c r="AS11" s="1429">
        <f>AS12+AS41+AS89+AS94+AS107</f>
        <v>977841.57799999998</v>
      </c>
      <c r="AT11" s="1429">
        <f>AT12+AT41+AT89+AT94+AT107</f>
        <v>595705.36642000009</v>
      </c>
    </row>
    <row r="12" spans="1:71" ht="52.5" customHeight="1" x14ac:dyDescent="0.2">
      <c r="A12" s="729"/>
      <c r="B12" s="451" t="s">
        <v>186</v>
      </c>
      <c r="C12" s="451"/>
      <c r="D12" s="451"/>
      <c r="E12" s="1429">
        <f t="shared" si="1"/>
        <v>11481934.633540001</v>
      </c>
      <c r="F12" s="1429">
        <f t="shared" si="2"/>
        <v>2159.6999999999998</v>
      </c>
      <c r="G12" s="1429">
        <f t="shared" si="2"/>
        <v>7074699.1312999995</v>
      </c>
      <c r="H12" s="1429">
        <f t="shared" si="2"/>
        <v>4405075.8022400001</v>
      </c>
      <c r="I12" s="1244">
        <f>J12+K12+L12</f>
        <v>1019995.74</v>
      </c>
      <c r="J12" s="1244">
        <f>J13</f>
        <v>0</v>
      </c>
      <c r="K12" s="1244">
        <f>K13</f>
        <v>620855.59500000009</v>
      </c>
      <c r="L12" s="1244">
        <f>L13</f>
        <v>399140.14499999996</v>
      </c>
      <c r="M12" s="1246">
        <f t="shared" si="3"/>
        <v>1045055.17</v>
      </c>
      <c r="N12" s="1244">
        <f>N13</f>
        <v>1064.5</v>
      </c>
      <c r="O12" s="1244">
        <f>O13</f>
        <v>614665.66</v>
      </c>
      <c r="P12" s="1244">
        <f>P13</f>
        <v>429325.01</v>
      </c>
      <c r="Q12" s="1246">
        <f>R12+S12+T12</f>
        <v>1086630.4206500002</v>
      </c>
      <c r="R12" s="1244">
        <f>R13</f>
        <v>0</v>
      </c>
      <c r="S12" s="1244">
        <f>S13</f>
        <v>635605.64000000013</v>
      </c>
      <c r="T12" s="1244">
        <f>T13</f>
        <v>451024.78065000003</v>
      </c>
      <c r="U12" s="1246">
        <f t="shared" si="4"/>
        <v>1178623.3252999999</v>
      </c>
      <c r="V12" s="1245">
        <f>V13</f>
        <v>0</v>
      </c>
      <c r="W12" s="1245">
        <f>W13</f>
        <v>694385.99529999995</v>
      </c>
      <c r="X12" s="1245">
        <f>X13</f>
        <v>484237.33</v>
      </c>
      <c r="Y12" s="1246">
        <f>Z12+AA12+AB12</f>
        <v>1301750.0710700001</v>
      </c>
      <c r="Z12" s="1245">
        <f>Z13</f>
        <v>0</v>
      </c>
      <c r="AA12" s="1245">
        <f>AA13</f>
        <v>794772.53299999994</v>
      </c>
      <c r="AB12" s="1245">
        <f>AB13</f>
        <v>506977.53807000001</v>
      </c>
      <c r="AC12" s="711"/>
      <c r="AD12" s="711"/>
      <c r="AE12" s="1430">
        <f t="shared" si="5"/>
        <v>1412416.08608</v>
      </c>
      <c r="AF12" s="1429">
        <f>AF13</f>
        <v>1095.2</v>
      </c>
      <c r="AG12" s="1429">
        <f>AG13</f>
        <v>882759.89800000004</v>
      </c>
      <c r="AH12" s="1429">
        <f>AH13</f>
        <v>528560.98808000004</v>
      </c>
      <c r="AI12" s="1430">
        <f>AJ12+AK12+AL12</f>
        <v>1451125.1686199999</v>
      </c>
      <c r="AJ12" s="1429">
        <f>AJ13</f>
        <v>0</v>
      </c>
      <c r="AK12" s="1429">
        <f>AK13</f>
        <v>915110.43</v>
      </c>
      <c r="AL12" s="1432">
        <f>AL13</f>
        <v>536014.73861999984</v>
      </c>
      <c r="AM12" s="1430">
        <f t="shared" si="6"/>
        <v>1464580.5532</v>
      </c>
      <c r="AN12" s="1429">
        <f>AN13</f>
        <v>0</v>
      </c>
      <c r="AO12" s="1429">
        <f>AO13</f>
        <v>944048.73999999987</v>
      </c>
      <c r="AP12" s="1429">
        <f>AP13</f>
        <v>520531.81319999998</v>
      </c>
      <c r="AQ12" s="1430">
        <f t="shared" si="7"/>
        <v>1521758.0986200001</v>
      </c>
      <c r="AR12" s="1429">
        <f>AR13</f>
        <v>0</v>
      </c>
      <c r="AS12" s="1429">
        <f>AS13</f>
        <v>972494.64</v>
      </c>
      <c r="AT12" s="1429">
        <f>AT13</f>
        <v>549263.45862000005</v>
      </c>
      <c r="AV12" s="1553">
        <f>AT13+AT42+AT74+AT85+AT95+AT90+AT108+AT116</f>
        <v>595705.36642000009</v>
      </c>
      <c r="AW12" s="1553">
        <f>AP13+AP42+AP74+AP85+AP90+AP95+AP108+AP116</f>
        <v>555577.84680000006</v>
      </c>
    </row>
    <row r="13" spans="1:71" ht="48" x14ac:dyDescent="0.2">
      <c r="A13" s="85" t="s">
        <v>185</v>
      </c>
      <c r="B13" s="86" t="s">
        <v>249</v>
      </c>
      <c r="C13" s="87"/>
      <c r="D13" s="87"/>
      <c r="E13" s="186">
        <f>F13+G13+H13</f>
        <v>9539694.2397300005</v>
      </c>
      <c r="F13" s="186">
        <f>F14+F18+F22+F26+F38+F39+F27+F31+F37+F36</f>
        <v>2159.6999999999998</v>
      </c>
      <c r="G13" s="186">
        <f>G14+G18+G22+G26+G38+G39+G27+G31+G37+G36</f>
        <v>5190163.5492999991</v>
      </c>
      <c r="H13" s="186">
        <f>H14+H18+H22+H26+H38+H39+H27+H31+H37+H36</f>
        <v>4347370.9904300002</v>
      </c>
      <c r="I13" s="1247">
        <f>J13+K13+L13</f>
        <v>1019995.74</v>
      </c>
      <c r="J13" s="1247">
        <f>J14+J18+J22+J26+J38+J39+J27+J31+J37+J36</f>
        <v>0</v>
      </c>
      <c r="K13" s="1247">
        <f>K14+K18+K22+K26+K38+K39+K27+K31+K37+K36</f>
        <v>620855.59500000009</v>
      </c>
      <c r="L13" s="1247">
        <f>L14+L18+L22+L26+L38+L39+L27+L31+L37+L36</f>
        <v>399140.14499999996</v>
      </c>
      <c r="M13" s="1248">
        <f t="shared" si="3"/>
        <v>1045055.17</v>
      </c>
      <c r="N13" s="1247">
        <f>N14+N18+N22+N26+N38+N39+N27+N31+N37+N36</f>
        <v>1064.5</v>
      </c>
      <c r="O13" s="1247">
        <f>O14+O18+O22+O26+O38+O39+O27+O31+O37+O36</f>
        <v>614665.66</v>
      </c>
      <c r="P13" s="1247">
        <f>P14+P18+P22+P26+P38+P39+P27+P31+P37+P36</f>
        <v>429325.01</v>
      </c>
      <c r="Q13" s="1248">
        <f>R13+S13+T13</f>
        <v>1086630.4206500002</v>
      </c>
      <c r="R13" s="1247">
        <f>R14+R18+R22+R26+R38+R39+R27+R31+R37+R36</f>
        <v>0</v>
      </c>
      <c r="S13" s="1247">
        <f>S14+S18+S22+S26+S38+S39+S27+S31+S37+S36</f>
        <v>635605.64000000013</v>
      </c>
      <c r="T13" s="1247">
        <f>T14+T18+T22+T26+T38+T39+T27+T31+T37+T36</f>
        <v>451024.78065000003</v>
      </c>
      <c r="U13" s="1248">
        <f t="shared" si="4"/>
        <v>1178623.3252999999</v>
      </c>
      <c r="V13" s="1249">
        <f>V14+V18+V22+V26+V38+V39+V27+V31+V37+V36</f>
        <v>0</v>
      </c>
      <c r="W13" s="1249">
        <f>W14+W18+W22+W26+W38+W39+W27+W31+W37+W36+W40</f>
        <v>694385.99529999995</v>
      </c>
      <c r="X13" s="1249">
        <f>X14+X18+X22+X26+X38+X39+X27+X31+X37+X36+X40</f>
        <v>484237.33</v>
      </c>
      <c r="Y13" s="1248">
        <f>Z13+AA13+AB13</f>
        <v>1301750.0710700001</v>
      </c>
      <c r="Z13" s="1249">
        <f>Z14+Z18+Z22+Z26+Z38+Z39+Z27+Z31+Z37+Z36</f>
        <v>0</v>
      </c>
      <c r="AA13" s="1249">
        <f>AA14+AA18+AA22+AA26+AA38+AA39+AA27+AA31+AA37+AA36</f>
        <v>794772.53299999994</v>
      </c>
      <c r="AB13" s="1249">
        <f>AB14+AB18+AB22+AB26+AB38+AB39+AB27+AB31+AB37+AB36+AB40</f>
        <v>506977.53807000001</v>
      </c>
      <c r="AC13" s="707"/>
      <c r="AD13" s="707"/>
      <c r="AE13" s="728">
        <f t="shared" si="5"/>
        <v>1412416.08608</v>
      </c>
      <c r="AF13" s="186">
        <f>AF14+AF18+AF22+AF26+AF38+AF39+AF27+AF31+AF37+AF36+AF40</f>
        <v>1095.2</v>
      </c>
      <c r="AG13" s="186">
        <f>AG14+AG18+AG22+AG26+AG38+AG39+AG27+AG31+AG37+AG36+AG40</f>
        <v>882759.89800000004</v>
      </c>
      <c r="AH13" s="186">
        <f>AH14+AH18+AH22+AH26+AH38+AH39+AH27+AH31+AH37+AH36+AH40</f>
        <v>528560.98808000004</v>
      </c>
      <c r="AI13" s="728">
        <f>AJ13+AK13+AL13</f>
        <v>1451125.1686199999</v>
      </c>
      <c r="AJ13" s="698">
        <f>AJ14+AJ18+AJ22+AJ26+AJ38+AJ39+AJ27+AJ31+AJ37+AJ36+AJ40</f>
        <v>0</v>
      </c>
      <c r="AK13" s="698">
        <f>AK14+AK18+AK22+AK26+AK38+AK39+AK27+AK31+AK37+AK36+AK40</f>
        <v>915110.43</v>
      </c>
      <c r="AL13" s="698">
        <f>AL14+AL18+AL22+AL26+AL38+AL39+AL27+AL31+AL37+AL36+AL40</f>
        <v>536014.73861999984</v>
      </c>
      <c r="AM13" s="728">
        <f t="shared" si="6"/>
        <v>1464580.5532</v>
      </c>
      <c r="AN13" s="186">
        <f>AN14+AN18+AN22+AN31+AN36+AN37+AN40</f>
        <v>0</v>
      </c>
      <c r="AO13" s="1523">
        <f>AO14+AO18+AO22+AO31+AO36+AO37+AO40</f>
        <v>944048.73999999987</v>
      </c>
      <c r="AP13" s="1523">
        <f>AP14+AP18+AP22+AP31+AP36+AP37+AP40</f>
        <v>520531.81319999998</v>
      </c>
      <c r="AQ13" s="1524">
        <f t="shared" si="7"/>
        <v>1521758.0986200001</v>
      </c>
      <c r="AR13" s="1525">
        <f>AR14+AR18+AR22+AR26+AR38+AR39+AR27+AR31+AR37+AR36+AR40</f>
        <v>0</v>
      </c>
      <c r="AS13" s="1525">
        <f>AS14+AS18+AS22+AS26+AS38+AS39+AS27+AS31+AS37+AS36+AS40</f>
        <v>972494.64</v>
      </c>
      <c r="AT13" s="1525">
        <f>AT14+AT18+AT22+AT26+AT38+AT39+AT27+AT31+AT37+AT36+AT40</f>
        <v>549263.45862000005</v>
      </c>
      <c r="AU13" s="956"/>
      <c r="AV13" s="956"/>
      <c r="AW13" s="956"/>
      <c r="AX13" s="956"/>
      <c r="AY13" s="956"/>
      <c r="AZ13" s="956"/>
      <c r="BA13" s="956"/>
      <c r="BB13" s="956"/>
    </row>
    <row r="14" spans="1:71" s="77" customFormat="1" ht="73.5" customHeight="1" x14ac:dyDescent="0.25">
      <c r="A14" s="1065" t="s">
        <v>6</v>
      </c>
      <c r="B14" s="1066" t="s">
        <v>712</v>
      </c>
      <c r="C14" s="1066" t="s">
        <v>321</v>
      </c>
      <c r="D14" s="1066"/>
      <c r="E14" s="1067">
        <f t="shared" si="1"/>
        <v>3923441.2851400003</v>
      </c>
      <c r="F14" s="1067">
        <f>J14+N14+R14+V14+Z14+AF14+AJ14</f>
        <v>0</v>
      </c>
      <c r="G14" s="1067">
        <f>K14+O14+S14+W14+AA14+AG14+AK14</f>
        <v>2684987.7587900003</v>
      </c>
      <c r="H14" s="1067">
        <f t="shared" ref="H14:H23" si="8">L14+P14+T14+X14+AB14+AH14+AL14+AP14+AT14</f>
        <v>1238453.5263499999</v>
      </c>
      <c r="I14" s="1250">
        <f>J14+K14+L14</f>
        <v>439441.83</v>
      </c>
      <c r="J14" s="1251"/>
      <c r="K14" s="1251">
        <v>336360.95500000002</v>
      </c>
      <c r="L14" s="1251">
        <v>103080.875</v>
      </c>
      <c r="M14" s="1252">
        <f t="shared" si="3"/>
        <v>454624.37</v>
      </c>
      <c r="N14" s="1252"/>
      <c r="O14" s="1252">
        <v>340243.46</v>
      </c>
      <c r="P14" s="1252">
        <v>114380.91</v>
      </c>
      <c r="Q14" s="1252">
        <f>R14+S14+T14</f>
        <v>475258.59</v>
      </c>
      <c r="R14" s="1252"/>
      <c r="S14" s="1252">
        <v>346407.84</v>
      </c>
      <c r="T14" s="1253">
        <v>128850.75</v>
      </c>
      <c r="U14" s="1252">
        <f t="shared" si="4"/>
        <v>512596.03</v>
      </c>
      <c r="V14" s="1252"/>
      <c r="W14" s="1252">
        <v>371701.8</v>
      </c>
      <c r="X14" s="1254">
        <v>140894.23000000001</v>
      </c>
      <c r="Y14" s="1252">
        <f t="shared" ref="Y14:Y40" si="9">Z14+AA14+AB14</f>
        <v>535996.00600000005</v>
      </c>
      <c r="Z14" s="1255"/>
      <c r="AA14" s="1256">
        <f>383977.7+18122.1</f>
        <v>402099.8</v>
      </c>
      <c r="AB14" s="1256">
        <f>125064.7+7913.3-7913.3-100+3487.876+85.5+5358.13</f>
        <v>133896.20600000001</v>
      </c>
      <c r="AC14" s="1068"/>
      <c r="AD14" s="1068"/>
      <c r="AE14" s="1071">
        <f t="shared" si="5"/>
        <v>580873.27013999992</v>
      </c>
      <c r="AF14" s="1071"/>
      <c r="AG14" s="1071">
        <f>390792.6+1732+7765.01+6820.5+28506.29379+696.8</f>
        <v>436313.20379</v>
      </c>
      <c r="AH14" s="1071">
        <f>129392.91+13561.89635+1386.86+218.4</f>
        <v>144560.06634999998</v>
      </c>
      <c r="AI14" s="1069">
        <f>AJ14+AK14+AL14</f>
        <v>604269.9</v>
      </c>
      <c r="AJ14" s="1069"/>
      <c r="AK14" s="1069">
        <f>450560.7+1300</f>
        <v>451860.7</v>
      </c>
      <c r="AL14" s="1070">
        <f>152867.8+351.4-640-170</f>
        <v>152409.19999999998</v>
      </c>
      <c r="AM14" s="1069">
        <f t="shared" si="6"/>
        <v>620304.80900000001</v>
      </c>
      <c r="AN14" s="1069"/>
      <c r="AO14" s="1069">
        <v>466616.3</v>
      </c>
      <c r="AP14" s="1070">
        <v>153688.50899999999</v>
      </c>
      <c r="AQ14" s="1069">
        <f t="shared" si="7"/>
        <v>649243.98</v>
      </c>
      <c r="AR14" s="1069"/>
      <c r="AS14" s="1069">
        <v>482551.2</v>
      </c>
      <c r="AT14" s="1069">
        <v>166692.78</v>
      </c>
      <c r="AU14" s="1595">
        <v>2020</v>
      </c>
      <c r="AV14" s="1596"/>
      <c r="AW14" s="1597">
        <v>2021</v>
      </c>
      <c r="AX14" s="1598"/>
      <c r="AY14" s="1597">
        <v>2022</v>
      </c>
      <c r="AZ14" s="1598"/>
      <c r="BA14" s="1413"/>
      <c r="BB14" s="1413"/>
    </row>
    <row r="15" spans="1:71" s="77" customFormat="1" ht="35.25" customHeight="1" x14ac:dyDescent="0.2">
      <c r="A15" s="88"/>
      <c r="B15" s="146" t="s">
        <v>707</v>
      </c>
      <c r="C15" s="74" t="s">
        <v>321</v>
      </c>
      <c r="D15" s="89"/>
      <c r="E15" s="188">
        <f t="shared" si="1"/>
        <v>7134.3</v>
      </c>
      <c r="F15" s="188">
        <f t="shared" ref="F15:G17" si="10">J15+N15+R15+V15+Z15+AF15+AJ15+AN15+AR15</f>
        <v>0</v>
      </c>
      <c r="G15" s="188">
        <f t="shared" si="10"/>
        <v>6778.6</v>
      </c>
      <c r="H15" s="188">
        <f t="shared" si="8"/>
        <v>355.7</v>
      </c>
      <c r="I15" s="1257"/>
      <c r="J15" s="1258"/>
      <c r="K15" s="1258"/>
      <c r="L15" s="1258"/>
      <c r="M15" s="1259"/>
      <c r="N15" s="1260"/>
      <c r="O15" s="1260"/>
      <c r="P15" s="1260"/>
      <c r="Q15" s="1259"/>
      <c r="R15" s="1259"/>
      <c r="S15" s="1259"/>
      <c r="T15" s="1261"/>
      <c r="U15" s="1262"/>
      <c r="V15" s="1262"/>
      <c r="W15" s="1262"/>
      <c r="X15" s="1263"/>
      <c r="Y15" s="1262"/>
      <c r="Z15" s="1264"/>
      <c r="AA15" s="1265"/>
      <c r="AB15" s="1265"/>
      <c r="AC15" s="95"/>
      <c r="AD15" s="95"/>
      <c r="AE15" s="830">
        <f t="shared" si="5"/>
        <v>2246.6999999999998</v>
      </c>
      <c r="AF15" s="830"/>
      <c r="AG15" s="191">
        <v>2134.6</v>
      </c>
      <c r="AH15" s="191">
        <v>112.1</v>
      </c>
      <c r="AI15" s="871">
        <f>AK15+AL15</f>
        <v>1629.2</v>
      </c>
      <c r="AJ15" s="871"/>
      <c r="AK15" s="1443">
        <v>1548</v>
      </c>
      <c r="AL15" s="1443">
        <v>81.2</v>
      </c>
      <c r="AM15" s="871">
        <f>AN15+AO15+AP15</f>
        <v>1629.2</v>
      </c>
      <c r="AN15" s="871"/>
      <c r="AO15" s="1443">
        <v>1548</v>
      </c>
      <c r="AP15" s="1443">
        <v>81.2</v>
      </c>
      <c r="AQ15" s="871">
        <f t="shared" si="7"/>
        <v>1629.2</v>
      </c>
      <c r="AR15" s="871"/>
      <c r="AS15" s="1443">
        <v>1548</v>
      </c>
      <c r="AT15" s="1540">
        <v>81.2</v>
      </c>
      <c r="AU15" s="1414">
        <f>AK15+AK19+AK23+AK66</f>
        <v>57414.000000000007</v>
      </c>
      <c r="AV15" s="1414">
        <f>AL15+AL19+AL23+AL66</f>
        <v>3021.8</v>
      </c>
      <c r="AW15" s="1469">
        <f>AO15+AO19+AO23+AO66</f>
        <v>57414.000000000007</v>
      </c>
      <c r="AX15" s="1469">
        <f>AP15+AP19+AP23+AP66</f>
        <v>3021.8</v>
      </c>
      <c r="AY15" s="1469">
        <f>AS15+AS19+AS23+AS66</f>
        <v>57414.000000000007</v>
      </c>
      <c r="AZ15" s="1469">
        <f>AT15+AT19+AT23+AT66</f>
        <v>3021.8</v>
      </c>
      <c r="BA15" s="1469"/>
      <c r="BB15" s="1469"/>
      <c r="BC15" s="1469"/>
      <c r="BD15" s="1469"/>
      <c r="BE15" s="1469"/>
      <c r="BF15" s="1469"/>
      <c r="BG15" s="1469"/>
      <c r="BH15" s="1469"/>
      <c r="BI15" s="1469"/>
      <c r="BJ15" s="1469"/>
      <c r="BK15" s="1469"/>
      <c r="BL15" s="1469"/>
      <c r="BM15" s="1469"/>
      <c r="BN15" s="1469"/>
    </row>
    <row r="16" spans="1:71" s="77" customFormat="1" ht="30" customHeight="1" x14ac:dyDescent="0.2">
      <c r="A16" s="88"/>
      <c r="B16" s="146" t="s">
        <v>708</v>
      </c>
      <c r="C16" s="74" t="s">
        <v>321</v>
      </c>
      <c r="D16" s="89"/>
      <c r="E16" s="188">
        <f t="shared" si="1"/>
        <v>2301.23686</v>
      </c>
      <c r="F16" s="188">
        <f t="shared" si="10"/>
        <v>0</v>
      </c>
      <c r="G16" s="188">
        <f t="shared" si="10"/>
        <v>2186</v>
      </c>
      <c r="H16" s="188">
        <f t="shared" si="8"/>
        <v>115.23685999999999</v>
      </c>
      <c r="I16" s="1257"/>
      <c r="J16" s="1258"/>
      <c r="K16" s="1258"/>
      <c r="L16" s="1258"/>
      <c r="M16" s="1259"/>
      <c r="N16" s="1260"/>
      <c r="O16" s="1260"/>
      <c r="P16" s="1260"/>
      <c r="Q16" s="1259"/>
      <c r="R16" s="1259"/>
      <c r="S16" s="1259"/>
      <c r="T16" s="1261"/>
      <c r="U16" s="1262"/>
      <c r="V16" s="1262"/>
      <c r="W16" s="1262"/>
      <c r="X16" s="1263"/>
      <c r="Y16" s="1262"/>
      <c r="Z16" s="1264"/>
      <c r="AA16" s="1265"/>
      <c r="AB16" s="1265"/>
      <c r="AC16" s="95"/>
      <c r="AD16" s="95"/>
      <c r="AE16" s="830">
        <f t="shared" si="5"/>
        <v>306.83686</v>
      </c>
      <c r="AF16" s="830"/>
      <c r="AG16" s="1460">
        <v>291.5</v>
      </c>
      <c r="AH16" s="1460">
        <v>15.33686</v>
      </c>
      <c r="AI16" s="871">
        <f>AK16+AL16</f>
        <v>664.8</v>
      </c>
      <c r="AJ16" s="871"/>
      <c r="AK16" s="1444">
        <v>631.5</v>
      </c>
      <c r="AL16" s="1444">
        <v>33.299999999999997</v>
      </c>
      <c r="AM16" s="871">
        <f>AN16+AO16+AP16</f>
        <v>664.8</v>
      </c>
      <c r="AN16" s="871"/>
      <c r="AO16" s="1444">
        <v>631.5</v>
      </c>
      <c r="AP16" s="1444">
        <v>33.299999999999997</v>
      </c>
      <c r="AQ16" s="871">
        <f t="shared" si="7"/>
        <v>664.8</v>
      </c>
      <c r="AR16" s="871"/>
      <c r="AS16" s="1444">
        <v>631.5</v>
      </c>
      <c r="AT16" s="1444">
        <v>33.299999999999997</v>
      </c>
      <c r="AU16" s="1414">
        <f>AK16+AK20+AK24</f>
        <v>7165.6</v>
      </c>
      <c r="AV16" s="1414">
        <f>AL16+AL20+AL24</f>
        <v>377.2</v>
      </c>
      <c r="AW16" s="1469">
        <f>AO16+AO20+AO24+AO67</f>
        <v>7165.6</v>
      </c>
      <c r="AX16" s="1469">
        <f>AP16+AP20+AP24+AP67</f>
        <v>377.2</v>
      </c>
      <c r="AY16" s="1469">
        <f>AS16+AS20+AS24</f>
        <v>7165.6</v>
      </c>
      <c r="AZ16" s="1469">
        <f>AT16+AT20+AT24</f>
        <v>377.2</v>
      </c>
      <c r="BA16" s="1414"/>
      <c r="BB16" s="1414"/>
      <c r="BC16" s="1414"/>
      <c r="BD16" s="1414"/>
      <c r="BE16" s="1414"/>
      <c r="BF16" s="1414"/>
      <c r="BG16" s="1414"/>
      <c r="BH16" s="1414"/>
      <c r="BI16" s="1414"/>
      <c r="BJ16" s="1414"/>
      <c r="BK16" s="1414"/>
      <c r="BL16" s="1414"/>
      <c r="BM16" s="1414"/>
      <c r="BN16" s="1414"/>
      <c r="BO16" s="1414"/>
      <c r="BP16" s="1414"/>
      <c r="BQ16" s="1414"/>
    </row>
    <row r="17" spans="1:54" s="77" customFormat="1" ht="27" customHeight="1" x14ac:dyDescent="0.2">
      <c r="A17" s="88"/>
      <c r="B17" s="146" t="s">
        <v>709</v>
      </c>
      <c r="C17" s="74" t="s">
        <v>321</v>
      </c>
      <c r="D17" s="89"/>
      <c r="E17" s="188">
        <f t="shared" si="1"/>
        <v>42033.4</v>
      </c>
      <c r="F17" s="188">
        <f t="shared" si="10"/>
        <v>0</v>
      </c>
      <c r="G17" s="188">
        <f t="shared" si="10"/>
        <v>39931.300000000003</v>
      </c>
      <c r="H17" s="188">
        <f t="shared" si="8"/>
        <v>2102.1</v>
      </c>
      <c r="I17" s="1257"/>
      <c r="J17" s="1258"/>
      <c r="K17" s="1258"/>
      <c r="L17" s="1258"/>
      <c r="M17" s="1259"/>
      <c r="N17" s="1260"/>
      <c r="O17" s="1260"/>
      <c r="P17" s="1260"/>
      <c r="Q17" s="1259"/>
      <c r="R17" s="1259"/>
      <c r="S17" s="1259"/>
      <c r="T17" s="1261"/>
      <c r="U17" s="1262"/>
      <c r="V17" s="1262"/>
      <c r="W17" s="1262"/>
      <c r="X17" s="1263"/>
      <c r="Y17" s="1262"/>
      <c r="Z17" s="1264"/>
      <c r="AA17" s="1265"/>
      <c r="AB17" s="1265"/>
      <c r="AC17" s="95"/>
      <c r="AD17" s="95"/>
      <c r="AE17" s="830">
        <f t="shared" si="5"/>
        <v>8176.9</v>
      </c>
      <c r="AF17" s="830"/>
      <c r="AG17" s="1460">
        <v>7767.7</v>
      </c>
      <c r="AH17" s="1460">
        <v>409.2</v>
      </c>
      <c r="AI17" s="871">
        <f>AK17+AL17</f>
        <v>11285.5</v>
      </c>
      <c r="AJ17" s="871"/>
      <c r="AK17" s="1444">
        <v>10721.2</v>
      </c>
      <c r="AL17" s="1444">
        <v>564.29999999999995</v>
      </c>
      <c r="AM17" s="871">
        <f>AN17+AO17+AP17</f>
        <v>11285.5</v>
      </c>
      <c r="AN17" s="871"/>
      <c r="AO17" s="1444">
        <v>10721.2</v>
      </c>
      <c r="AP17" s="1444">
        <v>564.29999999999995</v>
      </c>
      <c r="AQ17" s="871">
        <f t="shared" si="7"/>
        <v>11285.5</v>
      </c>
      <c r="AR17" s="871"/>
      <c r="AS17" s="1444">
        <v>10721.2</v>
      </c>
      <c r="AT17" s="1444">
        <v>564.29999999999995</v>
      </c>
      <c r="AU17" s="1414">
        <f>AK17+AK21+AK25+AK65</f>
        <v>63652.499999999993</v>
      </c>
      <c r="AV17" s="1414">
        <f>AL17+AL21+AL25+AL65</f>
        <v>3350.2000000000003</v>
      </c>
      <c r="AW17" s="1469">
        <f>AO17+AO21+AO25+AO65</f>
        <v>63652.540999999997</v>
      </c>
      <c r="AX17" s="1469">
        <f>AP17+AP21+AP25+AP65</f>
        <v>3350.2000000000003</v>
      </c>
      <c r="AY17" s="1469">
        <f>AS17+AS21+AS25+AS65</f>
        <v>63652.540999999997</v>
      </c>
      <c r="AZ17" s="1469">
        <f>AT17+AT21+AT25+AT65</f>
        <v>3350.2000000000003</v>
      </c>
      <c r="BA17" s="1413"/>
      <c r="BB17" s="1413"/>
    </row>
    <row r="18" spans="1:54" s="77" customFormat="1" ht="59.25" customHeight="1" x14ac:dyDescent="0.2">
      <c r="A18" s="1065" t="s">
        <v>8</v>
      </c>
      <c r="B18" s="1072" t="s">
        <v>714</v>
      </c>
      <c r="C18" s="1066" t="s">
        <v>322</v>
      </c>
      <c r="D18" s="1066"/>
      <c r="E18" s="1067">
        <f t="shared" si="1"/>
        <v>4209439.1134299999</v>
      </c>
      <c r="F18" s="1067">
        <f>J18+N18+R18+V18+Z18+AF18</f>
        <v>0</v>
      </c>
      <c r="G18" s="1067">
        <f>K18+O18+S18+W18+AA18+AG18+AK18</f>
        <v>2095217.2462099998</v>
      </c>
      <c r="H18" s="1067">
        <f t="shared" si="8"/>
        <v>2114221.8672200004</v>
      </c>
      <c r="I18" s="1250">
        <f>J18+K18+L18</f>
        <v>431823.54000000004</v>
      </c>
      <c r="J18" s="1251"/>
      <c r="K18" s="1251">
        <v>244116.64</v>
      </c>
      <c r="L18" s="1251">
        <v>187706.9</v>
      </c>
      <c r="M18" s="1252">
        <f t="shared" si="3"/>
        <v>445829.1</v>
      </c>
      <c r="N18" s="1252"/>
      <c r="O18" s="1252">
        <v>242699.5</v>
      </c>
      <c r="P18" s="1252">
        <v>203129.60000000001</v>
      </c>
      <c r="Q18" s="1252">
        <f>R18+S18+T18</f>
        <v>458629.75044999999</v>
      </c>
      <c r="R18" s="1252"/>
      <c r="S18" s="1252">
        <v>247086.3</v>
      </c>
      <c r="T18" s="1252">
        <v>211543.45045</v>
      </c>
      <c r="U18" s="1252">
        <f t="shared" si="4"/>
        <v>487964.603</v>
      </c>
      <c r="V18" s="1252"/>
      <c r="W18" s="1252">
        <v>265109.40299999999</v>
      </c>
      <c r="X18" s="1254">
        <v>222855.2</v>
      </c>
      <c r="Y18" s="1252">
        <f t="shared" si="9"/>
        <v>575313.35103000002</v>
      </c>
      <c r="Z18" s="1255"/>
      <c r="AA18" s="1256">
        <f>283714.5+7811+37871.721+873</f>
        <v>330270.22100000002</v>
      </c>
      <c r="AB18" s="1266">
        <f>230005.2+6550.5-6550.5+128.2+12924.44-1511.43397+3301.44653+263.27747-68</f>
        <v>245043.13003</v>
      </c>
      <c r="AC18" s="1068"/>
      <c r="AD18" s="1068"/>
      <c r="AE18" s="1071">
        <f t="shared" ref="AE18:AE41" si="11">AF18+AG18+AH18</f>
        <v>630338.01695000008</v>
      </c>
      <c r="AF18" s="1071"/>
      <c r="AG18" s="1071">
        <f>304175.4+9597.246+31848.48+27863.50621+2586.75</f>
        <v>376071.38221000001</v>
      </c>
      <c r="AH18" s="1071">
        <f>245360.2+1793.2429-0.1-268+1593.6+4394.09184+1294.7+42-199.6+256.5</f>
        <v>254266.63474000004</v>
      </c>
      <c r="AI18" s="1069">
        <f t="shared" ref="AI18:AI40" si="12">AJ18+AK18+AL18</f>
        <v>648468.67999999993</v>
      </c>
      <c r="AJ18" s="1069"/>
      <c r="AK18" s="1069">
        <f>391163.8-1300</f>
        <v>389863.8</v>
      </c>
      <c r="AL18" s="1070">
        <f>260798.78-1474.4-719.5</f>
        <v>258604.88</v>
      </c>
      <c r="AM18" s="1069">
        <f t="shared" si="6"/>
        <v>667443.69200000004</v>
      </c>
      <c r="AN18" s="1071"/>
      <c r="AO18" s="1071">
        <v>403983.1</v>
      </c>
      <c r="AP18" s="1090">
        <v>263460.592</v>
      </c>
      <c r="AQ18" s="1069">
        <f t="shared" si="7"/>
        <v>684105.58</v>
      </c>
      <c r="AR18" s="1071"/>
      <c r="AS18" s="1071">
        <v>416494.1</v>
      </c>
      <c r="AT18" s="1071">
        <v>267611.48</v>
      </c>
      <c r="AU18" s="1470">
        <f t="shared" ref="AU18:AZ18" si="13">AU15+AU16+AU17</f>
        <v>128232.1</v>
      </c>
      <c r="AV18" s="1470">
        <f t="shared" si="13"/>
        <v>6749.2000000000007</v>
      </c>
      <c r="AW18" s="1470">
        <f t="shared" si="13"/>
        <v>128232.141</v>
      </c>
      <c r="AX18" s="1470">
        <f t="shared" si="13"/>
        <v>6749.2000000000007</v>
      </c>
      <c r="AY18" s="1470">
        <f t="shared" si="13"/>
        <v>128232.141</v>
      </c>
      <c r="AZ18" s="1470">
        <f t="shared" si="13"/>
        <v>6749.2000000000007</v>
      </c>
      <c r="BA18" s="1413"/>
      <c r="BB18" s="1413"/>
    </row>
    <row r="19" spans="1:54" s="77" customFormat="1" ht="24" x14ac:dyDescent="0.2">
      <c r="A19" s="93"/>
      <c r="B19" s="146" t="s">
        <v>707</v>
      </c>
      <c r="C19" s="74"/>
      <c r="D19" s="74"/>
      <c r="E19" s="188">
        <f t="shared" si="1"/>
        <v>49542.499999999993</v>
      </c>
      <c r="F19" s="188">
        <f t="shared" ref="F19:G21" si="14">J19+N19+R19+V19+Z19+AF19+AJ19+AN19+AR19</f>
        <v>0</v>
      </c>
      <c r="G19" s="188">
        <f t="shared" si="14"/>
        <v>47065.899999999994</v>
      </c>
      <c r="H19" s="188">
        <f t="shared" si="8"/>
        <v>2476.6</v>
      </c>
      <c r="I19" s="1267"/>
      <c r="J19" s="1268"/>
      <c r="K19" s="1268"/>
      <c r="L19" s="1268"/>
      <c r="M19" s="1262"/>
      <c r="N19" s="1262"/>
      <c r="O19" s="1262"/>
      <c r="P19" s="1262"/>
      <c r="Q19" s="1259"/>
      <c r="R19" s="1259"/>
      <c r="S19" s="1259"/>
      <c r="T19" s="1259"/>
      <c r="U19" s="1262"/>
      <c r="V19" s="1262"/>
      <c r="W19" s="1262"/>
      <c r="X19" s="1263"/>
      <c r="Y19" s="1262"/>
      <c r="Z19" s="1264"/>
      <c r="AA19" s="1265"/>
      <c r="AB19" s="1269"/>
      <c r="AC19" s="95"/>
      <c r="AD19" s="95"/>
      <c r="AE19" s="830">
        <f>AF19+AG19+AH19</f>
        <v>17922.2</v>
      </c>
      <c r="AF19" s="830"/>
      <c r="AG19" s="191">
        <v>17026</v>
      </c>
      <c r="AH19" s="191">
        <v>896.2</v>
      </c>
      <c r="AI19" s="871">
        <f>AJ19+AK19+AL19</f>
        <v>10540.099999999999</v>
      </c>
      <c r="AJ19" s="871"/>
      <c r="AK19" s="191">
        <v>10013.299999999999</v>
      </c>
      <c r="AL19" s="191">
        <v>526.79999999999995</v>
      </c>
      <c r="AM19" s="871">
        <f>AN19+AO19+AP19</f>
        <v>10540.099999999999</v>
      </c>
      <c r="AN19" s="625"/>
      <c r="AO19" s="191">
        <v>10013.299999999999</v>
      </c>
      <c r="AP19" s="191">
        <v>526.79999999999995</v>
      </c>
      <c r="AQ19" s="871">
        <f t="shared" si="7"/>
        <v>10540.099999999999</v>
      </c>
      <c r="AR19" s="625"/>
      <c r="AS19" s="191">
        <v>10013.299999999999</v>
      </c>
      <c r="AT19" s="191">
        <v>526.79999999999995</v>
      </c>
      <c r="AU19" s="1415"/>
      <c r="AV19" s="1415"/>
      <c r="AW19" s="1415"/>
      <c r="AX19" s="1415"/>
      <c r="AY19" s="1415"/>
      <c r="AZ19" s="1415"/>
      <c r="BA19" s="1413"/>
      <c r="BB19" s="1413"/>
    </row>
    <row r="20" spans="1:54" s="77" customFormat="1" ht="24" x14ac:dyDescent="0.2">
      <c r="A20" s="93"/>
      <c r="B20" s="146" t="s">
        <v>708</v>
      </c>
      <c r="C20" s="74"/>
      <c r="D20" s="74"/>
      <c r="E20" s="188">
        <f t="shared" si="1"/>
        <v>7269.8679999999995</v>
      </c>
      <c r="F20" s="188">
        <f t="shared" si="14"/>
        <v>0</v>
      </c>
      <c r="G20" s="188">
        <f t="shared" si="14"/>
        <v>6905.4</v>
      </c>
      <c r="H20" s="188">
        <f t="shared" si="8"/>
        <v>364.46800000000002</v>
      </c>
      <c r="I20" s="1267"/>
      <c r="J20" s="1268"/>
      <c r="K20" s="1268"/>
      <c r="L20" s="1268"/>
      <c r="M20" s="1262"/>
      <c r="N20" s="1262"/>
      <c r="O20" s="1262"/>
      <c r="P20" s="1262"/>
      <c r="Q20" s="1259"/>
      <c r="R20" s="1259"/>
      <c r="S20" s="1259"/>
      <c r="T20" s="1259"/>
      <c r="U20" s="1262"/>
      <c r="V20" s="1262"/>
      <c r="W20" s="1262"/>
      <c r="X20" s="1263"/>
      <c r="Y20" s="1262"/>
      <c r="Z20" s="1264"/>
      <c r="AA20" s="1265"/>
      <c r="AB20" s="1269"/>
      <c r="AC20" s="95"/>
      <c r="AD20" s="95"/>
      <c r="AE20" s="830">
        <f>AF20+AG20+AH20</f>
        <v>1781.6679999999999</v>
      </c>
      <c r="AF20" s="830"/>
      <c r="AG20" s="191">
        <v>1692.6</v>
      </c>
      <c r="AH20" s="191">
        <v>89.067999999999998</v>
      </c>
      <c r="AI20" s="871">
        <f>AJ20+AK20+AL20</f>
        <v>1829.3999999999999</v>
      </c>
      <c r="AJ20" s="871"/>
      <c r="AK20" s="191">
        <v>1737.6</v>
      </c>
      <c r="AL20" s="191">
        <v>91.8</v>
      </c>
      <c r="AM20" s="871">
        <f>AN20+AO20+AP20</f>
        <v>1829.3999999999999</v>
      </c>
      <c r="AN20" s="625"/>
      <c r="AO20" s="191">
        <v>1737.6</v>
      </c>
      <c r="AP20" s="191">
        <v>91.8</v>
      </c>
      <c r="AQ20" s="871">
        <f t="shared" si="7"/>
        <v>1829.3999999999999</v>
      </c>
      <c r="AR20" s="625"/>
      <c r="AS20" s="191">
        <v>1737.6</v>
      </c>
      <c r="AT20" s="191">
        <v>91.8</v>
      </c>
      <c r="AU20" s="1415"/>
      <c r="AV20" s="1415"/>
      <c r="AW20" s="1415"/>
      <c r="AX20" s="1415"/>
      <c r="AY20" s="1415"/>
      <c r="AZ20" s="1415"/>
      <c r="BA20" s="1413"/>
      <c r="BB20" s="1413"/>
    </row>
    <row r="21" spans="1:54" s="77" customFormat="1" ht="24" x14ac:dyDescent="0.2">
      <c r="A21" s="93"/>
      <c r="B21" s="146" t="s">
        <v>709</v>
      </c>
      <c r="C21" s="74"/>
      <c r="D21" s="74"/>
      <c r="E21" s="188">
        <f t="shared" si="1"/>
        <v>163672.53099999999</v>
      </c>
      <c r="F21" s="188">
        <f t="shared" si="14"/>
        <v>0</v>
      </c>
      <c r="G21" s="188">
        <f t="shared" si="14"/>
        <v>155488.43099999998</v>
      </c>
      <c r="H21" s="188">
        <f t="shared" si="8"/>
        <v>8184.1</v>
      </c>
      <c r="I21" s="1267"/>
      <c r="J21" s="1268"/>
      <c r="K21" s="1268"/>
      <c r="L21" s="1268"/>
      <c r="M21" s="1262"/>
      <c r="N21" s="1262"/>
      <c r="O21" s="1262"/>
      <c r="P21" s="1262"/>
      <c r="Q21" s="1259"/>
      <c r="R21" s="1259"/>
      <c r="S21" s="1259"/>
      <c r="T21" s="1259"/>
      <c r="U21" s="1262"/>
      <c r="V21" s="1262"/>
      <c r="W21" s="1262"/>
      <c r="X21" s="1263"/>
      <c r="Y21" s="1262"/>
      <c r="Z21" s="1264"/>
      <c r="AA21" s="1265"/>
      <c r="AB21" s="1269"/>
      <c r="AC21" s="95"/>
      <c r="AD21" s="95"/>
      <c r="AE21" s="830">
        <f>AF21+AG21+AH21</f>
        <v>26649.030999999999</v>
      </c>
      <c r="AF21" s="830"/>
      <c r="AG21" s="191">
        <v>25313.931</v>
      </c>
      <c r="AH21" s="191">
        <v>1335.1</v>
      </c>
      <c r="AI21" s="871">
        <f>AJ21+AK21+AL21</f>
        <v>45674.5</v>
      </c>
      <c r="AJ21" s="871"/>
      <c r="AK21" s="191">
        <v>43391.5</v>
      </c>
      <c r="AL21" s="191">
        <v>2283</v>
      </c>
      <c r="AM21" s="871">
        <f>AN21+AO21+AP21</f>
        <v>45674.5</v>
      </c>
      <c r="AN21" s="625"/>
      <c r="AO21" s="191">
        <v>43391.5</v>
      </c>
      <c r="AP21" s="191">
        <v>2283</v>
      </c>
      <c r="AQ21" s="871">
        <f t="shared" si="7"/>
        <v>45674.5</v>
      </c>
      <c r="AR21" s="625"/>
      <c r="AS21" s="191">
        <v>43391.5</v>
      </c>
      <c r="AT21" s="191">
        <v>2283</v>
      </c>
      <c r="AU21" s="1415"/>
      <c r="AV21" s="1415"/>
      <c r="AW21" s="1415"/>
      <c r="AX21" s="1415"/>
      <c r="AY21" s="1415"/>
      <c r="AZ21" s="1415"/>
      <c r="BA21" s="1413"/>
      <c r="BB21" s="1413"/>
    </row>
    <row r="22" spans="1:54" s="77" customFormat="1" ht="50.25" customHeight="1" x14ac:dyDescent="0.2">
      <c r="A22" s="1065" t="s">
        <v>51</v>
      </c>
      <c r="B22" s="1066" t="s">
        <v>713</v>
      </c>
      <c r="C22" s="1066" t="s">
        <v>321</v>
      </c>
      <c r="D22" s="1066"/>
      <c r="E22" s="1067">
        <f t="shared" si="1"/>
        <v>1235815.3067099999</v>
      </c>
      <c r="F22" s="1067">
        <f>J22+N22+R22+V22+Z22+AF22</f>
        <v>0</v>
      </c>
      <c r="G22" s="1067">
        <f>K22+O22+S22+W22+AA22+AG22+AK22</f>
        <v>256598.21900000001</v>
      </c>
      <c r="H22" s="1067">
        <f t="shared" si="8"/>
        <v>979217.08770999999</v>
      </c>
      <c r="I22" s="1250">
        <f>J22+K22+L22</f>
        <v>122137.4</v>
      </c>
      <c r="J22" s="1251"/>
      <c r="K22" s="1251">
        <v>16516.599999999999</v>
      </c>
      <c r="L22" s="1251">
        <v>105620.8</v>
      </c>
      <c r="M22" s="1252">
        <f t="shared" si="3"/>
        <v>125624.2</v>
      </c>
      <c r="N22" s="1252"/>
      <c r="O22" s="1252">
        <v>15618</v>
      </c>
      <c r="P22" s="1252">
        <v>110006.2</v>
      </c>
      <c r="Q22" s="1252">
        <f>R22+S22+T22</f>
        <v>130900.09672</v>
      </c>
      <c r="R22" s="1252"/>
      <c r="S22" s="1252">
        <v>21381.9</v>
      </c>
      <c r="T22" s="1252">
        <v>109518.19672000001</v>
      </c>
      <c r="U22" s="1252">
        <f t="shared" si="4"/>
        <v>150909.90700000001</v>
      </c>
      <c r="V22" s="1270"/>
      <c r="W22" s="1252">
        <v>43510.607000000004</v>
      </c>
      <c r="X22" s="1271">
        <v>107399.3</v>
      </c>
      <c r="Y22" s="1252">
        <f t="shared" si="9"/>
        <v>161936.13800000001</v>
      </c>
      <c r="Z22" s="1255"/>
      <c r="AA22" s="1256">
        <f>41950.1+6042.112</f>
        <v>47992.212</v>
      </c>
      <c r="AB22" s="1266">
        <f>115046.7+2055.6-10659.45-2055.6+472+6827.2+661.6+1595.876</f>
        <v>113943.92600000001</v>
      </c>
      <c r="AC22" s="1073" t="s">
        <v>312</v>
      </c>
      <c r="AD22" s="1073"/>
      <c r="AE22" s="1071">
        <f t="shared" si="11"/>
        <v>169482.13699000003</v>
      </c>
      <c r="AF22" s="1109"/>
      <c r="AG22" s="1080">
        <f>43884+5797.5-1693.9+6145.9</f>
        <v>54133.5</v>
      </c>
      <c r="AH22" s="1080">
        <f>114549.646+2639.74-229.51-2055.345-258.4+339.36+30.224+340.32199-7.4</f>
        <v>115348.63699000001</v>
      </c>
      <c r="AI22" s="1069">
        <f t="shared" si="12"/>
        <v>170590.5</v>
      </c>
      <c r="AJ22" s="1069"/>
      <c r="AK22" s="1069">
        <v>57445.4</v>
      </c>
      <c r="AL22" s="1070">
        <f>113145.1</f>
        <v>113145.1</v>
      </c>
      <c r="AM22" s="1069">
        <f t="shared" si="6"/>
        <v>159232.62899999999</v>
      </c>
      <c r="AN22" s="1071"/>
      <c r="AO22" s="1071">
        <v>57445.440999999999</v>
      </c>
      <c r="AP22" s="1071">
        <f>120967.988-19180.8</f>
        <v>101787.18799999999</v>
      </c>
      <c r="AQ22" s="1069">
        <f t="shared" si="7"/>
        <v>159893.18099999998</v>
      </c>
      <c r="AR22" s="1071"/>
      <c r="AS22" s="1071">
        <v>57445.440999999999</v>
      </c>
      <c r="AT22" s="1071">
        <f>121628.54-19180.8</f>
        <v>102447.73999999999</v>
      </c>
      <c r="AU22" s="1413"/>
      <c r="AV22" s="1413"/>
      <c r="AW22" s="1413"/>
      <c r="AX22" s="1413"/>
      <c r="AY22" s="1413"/>
      <c r="AZ22" s="1413"/>
      <c r="BA22" s="1413"/>
      <c r="BB22" s="1413"/>
    </row>
    <row r="23" spans="1:54" s="77" customFormat="1" ht="27.75" customHeight="1" x14ac:dyDescent="0.2">
      <c r="A23" s="93"/>
      <c r="B23" s="146" t="s">
        <v>707</v>
      </c>
      <c r="C23" s="94"/>
      <c r="D23" s="94"/>
      <c r="E23" s="188">
        <f t="shared" si="1"/>
        <v>182256.4</v>
      </c>
      <c r="F23" s="188">
        <f t="shared" ref="F23:G25" si="15">J23+N23+R23+V23+Z23+AF23+AJ23+AN23+AR23</f>
        <v>0</v>
      </c>
      <c r="G23" s="188">
        <f t="shared" si="15"/>
        <v>173142</v>
      </c>
      <c r="H23" s="188">
        <f t="shared" si="8"/>
        <v>9114.4000000000015</v>
      </c>
      <c r="I23" s="767"/>
      <c r="J23" s="768"/>
      <c r="K23" s="768"/>
      <c r="L23" s="768"/>
      <c r="M23" s="761"/>
      <c r="N23" s="761"/>
      <c r="O23" s="761"/>
      <c r="P23" s="761"/>
      <c r="Q23" s="761"/>
      <c r="R23" s="761"/>
      <c r="S23" s="761"/>
      <c r="T23" s="761"/>
      <c r="U23" s="761"/>
      <c r="V23" s="1235"/>
      <c r="W23" s="761"/>
      <c r="X23" s="1236"/>
      <c r="Y23" s="761"/>
      <c r="Z23" s="1233"/>
      <c r="AA23" s="762"/>
      <c r="AB23" s="1234"/>
      <c r="AC23" s="881"/>
      <c r="AD23" s="881"/>
      <c r="AE23" s="830">
        <f>AF23+AG23+AH23</f>
        <v>40333.599999999999</v>
      </c>
      <c r="AF23" s="830"/>
      <c r="AG23" s="191">
        <v>38316.6</v>
      </c>
      <c r="AH23" s="191">
        <v>2017</v>
      </c>
      <c r="AI23" s="871">
        <f>AJ23+AK23+AL23</f>
        <v>47307.600000000006</v>
      </c>
      <c r="AJ23" s="871"/>
      <c r="AK23" s="191">
        <v>44941.8</v>
      </c>
      <c r="AL23" s="191">
        <v>2365.8000000000002</v>
      </c>
      <c r="AM23" s="871">
        <f>AN23+AO23+AP23</f>
        <v>47307.600000000006</v>
      </c>
      <c r="AN23" s="625"/>
      <c r="AO23" s="191">
        <v>44941.8</v>
      </c>
      <c r="AP23" s="191">
        <v>2365.8000000000002</v>
      </c>
      <c r="AQ23" s="871">
        <f t="shared" si="7"/>
        <v>47307.600000000006</v>
      </c>
      <c r="AR23" s="625"/>
      <c r="AS23" s="191">
        <v>44941.8</v>
      </c>
      <c r="AT23" s="191">
        <v>2365.8000000000002</v>
      </c>
      <c r="AU23" s="1413"/>
      <c r="AV23" s="1413"/>
      <c r="AW23" s="1413"/>
      <c r="AX23" s="1413"/>
      <c r="AY23" s="1413"/>
      <c r="AZ23" s="1413"/>
      <c r="BA23" s="1413"/>
      <c r="BB23" s="1413"/>
    </row>
    <row r="24" spans="1:54" s="77" customFormat="1" ht="28.5" customHeight="1" x14ac:dyDescent="0.2">
      <c r="A24" s="93"/>
      <c r="B24" s="146" t="s">
        <v>708</v>
      </c>
      <c r="C24" s="94"/>
      <c r="D24" s="94"/>
      <c r="E24" s="188">
        <f t="shared" si="1"/>
        <v>20600.099140000002</v>
      </c>
      <c r="F24" s="188">
        <f t="shared" si="15"/>
        <v>0</v>
      </c>
      <c r="G24" s="188">
        <f t="shared" si="15"/>
        <v>19571.004000000001</v>
      </c>
      <c r="H24" s="188">
        <f>L24+P24+T24+X24+AB24+AH24+AL24+AP24+AT24</f>
        <v>1029.0951399999999</v>
      </c>
      <c r="I24" s="767"/>
      <c r="J24" s="768"/>
      <c r="K24" s="768"/>
      <c r="L24" s="768"/>
      <c r="M24" s="761"/>
      <c r="N24" s="761"/>
      <c r="O24" s="761"/>
      <c r="P24" s="761"/>
      <c r="Q24" s="761"/>
      <c r="R24" s="761"/>
      <c r="S24" s="761"/>
      <c r="T24" s="761"/>
      <c r="U24" s="761"/>
      <c r="V24" s="1235"/>
      <c r="W24" s="761"/>
      <c r="X24" s="1236"/>
      <c r="Y24" s="761"/>
      <c r="Z24" s="1233"/>
      <c r="AA24" s="762"/>
      <c r="AB24" s="1234"/>
      <c r="AC24" s="881"/>
      <c r="AD24" s="881"/>
      <c r="AE24" s="830">
        <f>AF24+AG24+AH24</f>
        <v>5454.2991400000001</v>
      </c>
      <c r="AF24" s="830"/>
      <c r="AG24" s="191">
        <v>5181.5039999999999</v>
      </c>
      <c r="AH24" s="191">
        <v>272.79514</v>
      </c>
      <c r="AI24" s="871">
        <f>AJ24+AK24+AL24</f>
        <v>5048.6000000000004</v>
      </c>
      <c r="AJ24" s="871"/>
      <c r="AK24" s="191">
        <v>4796.5</v>
      </c>
      <c r="AL24" s="191">
        <v>252.1</v>
      </c>
      <c r="AM24" s="871">
        <f>AN24+AO24+AP24</f>
        <v>5048.6000000000004</v>
      </c>
      <c r="AN24" s="625"/>
      <c r="AO24" s="191">
        <v>4796.5</v>
      </c>
      <c r="AP24" s="191">
        <v>252.1</v>
      </c>
      <c r="AQ24" s="871">
        <f t="shared" si="7"/>
        <v>5048.6000000000004</v>
      </c>
      <c r="AR24" s="625"/>
      <c r="AS24" s="191">
        <v>4796.5</v>
      </c>
      <c r="AT24" s="191">
        <v>252.1</v>
      </c>
      <c r="AU24" s="1413"/>
      <c r="AV24" s="1413"/>
      <c r="AW24" s="1413"/>
      <c r="AX24" s="1413"/>
      <c r="AY24" s="1413"/>
      <c r="AZ24" s="1413"/>
      <c r="BA24" s="1413"/>
      <c r="BB24" s="1413"/>
    </row>
    <row r="25" spans="1:54" s="77" customFormat="1" ht="27" customHeight="1" x14ac:dyDescent="0.2">
      <c r="A25" s="93"/>
      <c r="B25" s="146" t="s">
        <v>709</v>
      </c>
      <c r="C25" s="94"/>
      <c r="D25" s="94"/>
      <c r="E25" s="188">
        <f t="shared" si="1"/>
        <v>35535.716</v>
      </c>
      <c r="F25" s="188">
        <f t="shared" si="15"/>
        <v>0</v>
      </c>
      <c r="G25" s="188">
        <f t="shared" si="15"/>
        <v>33756.815999999999</v>
      </c>
      <c r="H25" s="188">
        <f>L25+P25+T25+X25+AB25+AH25+AL25+AP25+AT25</f>
        <v>1778.9</v>
      </c>
      <c r="I25" s="767"/>
      <c r="J25" s="768"/>
      <c r="K25" s="768"/>
      <c r="L25" s="768"/>
      <c r="M25" s="761"/>
      <c r="N25" s="761"/>
      <c r="O25" s="761"/>
      <c r="P25" s="761"/>
      <c r="Q25" s="761"/>
      <c r="R25" s="761"/>
      <c r="S25" s="761"/>
      <c r="T25" s="761"/>
      <c r="U25" s="761"/>
      <c r="V25" s="1235"/>
      <c r="W25" s="761"/>
      <c r="X25" s="1236"/>
      <c r="Y25" s="761"/>
      <c r="Z25" s="1233"/>
      <c r="AA25" s="762"/>
      <c r="AB25" s="1234"/>
      <c r="AC25" s="881"/>
      <c r="AD25" s="881"/>
      <c r="AE25" s="830">
        <f>AF25+AG25+AH25</f>
        <v>11195.134</v>
      </c>
      <c r="AF25" s="830"/>
      <c r="AG25" s="191">
        <v>10635.433999999999</v>
      </c>
      <c r="AH25" s="191">
        <v>559.70000000000005</v>
      </c>
      <c r="AI25" s="871">
        <f>AJ25+AK25+AL25</f>
        <v>8113.5</v>
      </c>
      <c r="AJ25" s="871"/>
      <c r="AK25" s="191">
        <v>7707.1</v>
      </c>
      <c r="AL25" s="191">
        <v>406.4</v>
      </c>
      <c r="AM25" s="871">
        <f>AN25+AO25+AP25</f>
        <v>8113.5409999999993</v>
      </c>
      <c r="AN25" s="625"/>
      <c r="AO25" s="191">
        <v>7707.1409999999996</v>
      </c>
      <c r="AP25" s="191">
        <v>406.4</v>
      </c>
      <c r="AQ25" s="871">
        <f t="shared" si="7"/>
        <v>8113.5409999999993</v>
      </c>
      <c r="AR25" s="625"/>
      <c r="AS25" s="191">
        <v>7707.1409999999996</v>
      </c>
      <c r="AT25" s="191">
        <v>406.4</v>
      </c>
      <c r="AU25" s="1413"/>
      <c r="AV25" s="1413"/>
      <c r="AW25" s="1413"/>
      <c r="AX25" s="1413"/>
      <c r="AY25" s="1413"/>
      <c r="AZ25" s="1413"/>
      <c r="BA25" s="1413"/>
      <c r="BB25" s="1413"/>
    </row>
    <row r="26" spans="1:54" s="77" customFormat="1" ht="36" x14ac:dyDescent="0.2">
      <c r="A26" s="93" t="s">
        <v>202</v>
      </c>
      <c r="B26" s="90" t="s">
        <v>203</v>
      </c>
      <c r="C26" s="90" t="s">
        <v>322</v>
      </c>
      <c r="D26" s="90"/>
      <c r="E26" s="189">
        <f t="shared" si="1"/>
        <v>14278.8</v>
      </c>
      <c r="F26" s="189">
        <f>J26+N26+R26+V26+Z26+AF26</f>
        <v>0</v>
      </c>
      <c r="G26" s="189">
        <f>K26+O26+S26+W26+AA26+AG26+AK26</f>
        <v>14278.8</v>
      </c>
      <c r="H26" s="188">
        <f t="shared" ref="H26:H31" si="16">L26+P26+T26+X26+AB26+AH26+AL26+AP26+AT26</f>
        <v>0</v>
      </c>
      <c r="I26" s="765">
        <f>J26+K26+L26</f>
        <v>3930</v>
      </c>
      <c r="J26" s="766"/>
      <c r="K26" s="766">
        <v>3930</v>
      </c>
      <c r="L26" s="766"/>
      <c r="M26" s="758">
        <f t="shared" si="3"/>
        <v>3418.4</v>
      </c>
      <c r="N26" s="759"/>
      <c r="O26" s="759">
        <v>3418.4</v>
      </c>
      <c r="P26" s="759"/>
      <c r="Q26" s="761">
        <f>R26+S26+T26</f>
        <v>6930.4</v>
      </c>
      <c r="R26" s="761"/>
      <c r="S26" s="761">
        <v>6930.4</v>
      </c>
      <c r="T26" s="761"/>
      <c r="U26" s="1235">
        <f t="shared" si="4"/>
        <v>0</v>
      </c>
      <c r="V26" s="761"/>
      <c r="W26" s="761">
        <v>0</v>
      </c>
      <c r="X26" s="1237"/>
      <c r="Y26" s="761">
        <f t="shared" si="9"/>
        <v>0</v>
      </c>
      <c r="Z26" s="1235"/>
      <c r="AA26" s="761">
        <v>0</v>
      </c>
      <c r="AB26" s="761"/>
      <c r="AC26" s="95"/>
      <c r="AD26" s="95"/>
      <c r="AE26" s="830">
        <f t="shared" si="11"/>
        <v>0</v>
      </c>
      <c r="AF26" s="830"/>
      <c r="AG26" s="830">
        <v>0</v>
      </c>
      <c r="AH26" s="830"/>
      <c r="AI26" s="871">
        <f t="shared" si="12"/>
        <v>0</v>
      </c>
      <c r="AJ26" s="871"/>
      <c r="AK26" s="871"/>
      <c r="AL26" s="936"/>
      <c r="AM26" s="871">
        <f t="shared" si="6"/>
        <v>0</v>
      </c>
      <c r="AN26" s="625"/>
      <c r="AO26" s="625"/>
      <c r="AP26" s="625"/>
      <c r="AQ26" s="871">
        <f t="shared" si="7"/>
        <v>0</v>
      </c>
      <c r="AR26" s="625"/>
      <c r="AS26" s="625"/>
      <c r="AT26" s="625"/>
      <c r="AU26" s="1413"/>
      <c r="AV26" s="1413"/>
      <c r="AW26" s="1413"/>
      <c r="AX26" s="1413"/>
      <c r="AY26" s="1413"/>
      <c r="AZ26" s="1413"/>
      <c r="BA26" s="1413"/>
      <c r="BB26" s="1413"/>
    </row>
    <row r="27" spans="1:54" s="77" customFormat="1" ht="60.75" customHeight="1" x14ac:dyDescent="0.2">
      <c r="A27" s="1445" t="s">
        <v>204</v>
      </c>
      <c r="B27" s="1024" t="s">
        <v>670</v>
      </c>
      <c r="C27" s="1586" t="s">
        <v>692</v>
      </c>
      <c r="D27" s="91" t="s">
        <v>7</v>
      </c>
      <c r="E27" s="189">
        <f>F27+G27+H27</f>
        <v>6928.8549999999996</v>
      </c>
      <c r="F27" s="189">
        <f t="shared" ref="F27:G31" si="17">J27+N27+R27+V27+Z27+AF27+AJ27+AN27+AR27</f>
        <v>2159.6999999999998</v>
      </c>
      <c r="G27" s="189">
        <f t="shared" si="17"/>
        <v>2826.5349999999999</v>
      </c>
      <c r="H27" s="189">
        <f t="shared" si="16"/>
        <v>1942.6200000000001</v>
      </c>
      <c r="I27" s="765">
        <f>J27+K27+L27</f>
        <v>2276.4700000000003</v>
      </c>
      <c r="J27" s="766">
        <f>J28+J29</f>
        <v>0</v>
      </c>
      <c r="K27" s="766">
        <f>K28+K29</f>
        <v>1326.5</v>
      </c>
      <c r="L27" s="766">
        <f>L28+L29</f>
        <v>949.97</v>
      </c>
      <c r="M27" s="765">
        <f t="shared" si="3"/>
        <v>1564.5</v>
      </c>
      <c r="N27" s="766">
        <f>N28+N29</f>
        <v>1064.5</v>
      </c>
      <c r="O27" s="766">
        <f>O28+O29</f>
        <v>0</v>
      </c>
      <c r="P27" s="766">
        <f>P28+P29</f>
        <v>500</v>
      </c>
      <c r="Q27" s="767">
        <f>R27+S27+T27</f>
        <v>25</v>
      </c>
      <c r="R27" s="768">
        <f>R28+R29</f>
        <v>0</v>
      </c>
      <c r="S27" s="768">
        <f>S28+S29</f>
        <v>0</v>
      </c>
      <c r="T27" s="768">
        <f>T28+T29+T30</f>
        <v>25</v>
      </c>
      <c r="U27" s="761">
        <f t="shared" si="4"/>
        <v>1910.0350000000001</v>
      </c>
      <c r="V27" s="1238">
        <f>V28+V29</f>
        <v>0</v>
      </c>
      <c r="W27" s="1238">
        <f>W28</f>
        <v>1500.0350000000001</v>
      </c>
      <c r="X27" s="1238">
        <f>X28+X30</f>
        <v>410</v>
      </c>
      <c r="Y27" s="760">
        <f>Z27+AA27+AB27</f>
        <v>0</v>
      </c>
      <c r="Z27" s="760">
        <f>Z28+Z29</f>
        <v>0</v>
      </c>
      <c r="AA27" s="1238"/>
      <c r="AB27" s="760"/>
      <c r="AC27" s="95"/>
      <c r="AD27" s="95"/>
      <c r="AE27" s="871">
        <f t="shared" si="11"/>
        <v>1152.8500000000001</v>
      </c>
      <c r="AF27" s="871">
        <f>AF28</f>
        <v>1095.2</v>
      </c>
      <c r="AG27" s="871">
        <f>AG28</f>
        <v>0</v>
      </c>
      <c r="AH27" s="871">
        <f>AH28</f>
        <v>57.65</v>
      </c>
      <c r="AI27" s="871">
        <f t="shared" si="12"/>
        <v>0</v>
      </c>
      <c r="AJ27" s="871"/>
      <c r="AK27" s="871"/>
      <c r="AL27" s="936"/>
      <c r="AM27" s="871">
        <f t="shared" si="6"/>
        <v>0</v>
      </c>
      <c r="AN27" s="625">
        <f>AN28+AN29+AN30</f>
        <v>0</v>
      </c>
      <c r="AO27" s="625">
        <f>AO28+AO29+AO30</f>
        <v>0</v>
      </c>
      <c r="AP27" s="625">
        <f>AP28+AP29+AP30</f>
        <v>0</v>
      </c>
      <c r="AQ27" s="871">
        <f t="shared" si="7"/>
        <v>0</v>
      </c>
      <c r="AR27" s="625">
        <f>AR28+AR29+AR30</f>
        <v>0</v>
      </c>
      <c r="AS27" s="625">
        <f>AS28+AS29+AS30</f>
        <v>0</v>
      </c>
      <c r="AT27" s="625">
        <f>AT28+AT29+AT30</f>
        <v>0</v>
      </c>
      <c r="AU27" s="1413"/>
      <c r="AV27" s="1413"/>
      <c r="AW27" s="1413"/>
      <c r="AX27" s="1413"/>
      <c r="AY27" s="1413"/>
      <c r="AZ27" s="1413"/>
      <c r="BA27" s="1413"/>
      <c r="BB27" s="1413"/>
    </row>
    <row r="28" spans="1:54" ht="78" customHeight="1" x14ac:dyDescent="0.2">
      <c r="A28" s="712"/>
      <c r="B28" s="1023" t="s">
        <v>12</v>
      </c>
      <c r="C28" s="1587"/>
      <c r="D28" s="713" t="s">
        <v>7</v>
      </c>
      <c r="E28" s="187">
        <f>F28+G28+H28</f>
        <v>6873.8549999999996</v>
      </c>
      <c r="F28" s="189">
        <f t="shared" si="17"/>
        <v>2159.6999999999998</v>
      </c>
      <c r="G28" s="189">
        <f t="shared" si="17"/>
        <v>2826.5349999999999</v>
      </c>
      <c r="H28" s="189">
        <f t="shared" si="16"/>
        <v>1887.6200000000001</v>
      </c>
      <c r="I28" s="765">
        <f>J28+K28+L28</f>
        <v>2276.4700000000003</v>
      </c>
      <c r="J28" s="769"/>
      <c r="K28" s="769">
        <v>1326.5</v>
      </c>
      <c r="L28" s="763">
        <v>949.97</v>
      </c>
      <c r="M28" s="758">
        <f t="shared" si="3"/>
        <v>1564.5</v>
      </c>
      <c r="N28" s="758">
        <v>1064.5</v>
      </c>
      <c r="O28" s="758"/>
      <c r="P28" s="758">
        <v>500</v>
      </c>
      <c r="Q28" s="758">
        <f>R28+S28+T28</f>
        <v>0</v>
      </c>
      <c r="R28" s="758"/>
      <c r="S28" s="758"/>
      <c r="T28" s="758"/>
      <c r="U28" s="758">
        <f t="shared" si="4"/>
        <v>1880.0350000000001</v>
      </c>
      <c r="V28" s="758"/>
      <c r="W28" s="758">
        <v>1500.0350000000001</v>
      </c>
      <c r="X28" s="1239">
        <v>380</v>
      </c>
      <c r="Y28" s="758">
        <f t="shared" si="9"/>
        <v>0</v>
      </c>
      <c r="Z28" s="1240"/>
      <c r="AA28" s="1241"/>
      <c r="AB28" s="1242"/>
      <c r="AE28" s="622">
        <f>AF28+AG28+AH28</f>
        <v>1152.8500000000001</v>
      </c>
      <c r="AF28" s="621">
        <v>1095.2</v>
      </c>
      <c r="AG28" s="621"/>
      <c r="AH28" s="621">
        <v>57.65</v>
      </c>
      <c r="AI28" s="781">
        <f t="shared" si="12"/>
        <v>0</v>
      </c>
      <c r="AJ28" s="782"/>
      <c r="AK28" s="782"/>
      <c r="AL28" s="937"/>
      <c r="AM28" s="980"/>
      <c r="AN28" s="980"/>
      <c r="AO28" s="980"/>
      <c r="AP28" s="980"/>
      <c r="AQ28" s="980"/>
      <c r="AR28" s="980"/>
      <c r="AS28" s="980"/>
      <c r="AT28" s="980"/>
    </row>
    <row r="29" spans="1:54" ht="36" x14ac:dyDescent="0.2">
      <c r="A29" s="88"/>
      <c r="B29" s="92" t="s">
        <v>113</v>
      </c>
      <c r="C29" s="89" t="s">
        <v>114</v>
      </c>
      <c r="D29" s="91" t="s">
        <v>7</v>
      </c>
      <c r="E29" s="189">
        <f>F29+G29+H29</f>
        <v>0</v>
      </c>
      <c r="F29" s="189">
        <f t="shared" si="17"/>
        <v>0</v>
      </c>
      <c r="G29" s="189">
        <f t="shared" si="17"/>
        <v>0</v>
      </c>
      <c r="H29" s="189">
        <f t="shared" si="16"/>
        <v>0</v>
      </c>
      <c r="I29" s="765">
        <f>J29+K29+L29</f>
        <v>0</v>
      </c>
      <c r="J29" s="770"/>
      <c r="K29" s="771"/>
      <c r="L29" s="772"/>
      <c r="M29" s="759">
        <f t="shared" si="3"/>
        <v>0</v>
      </c>
      <c r="N29" s="759"/>
      <c r="O29" s="759"/>
      <c r="P29" s="759"/>
      <c r="Q29" s="761">
        <f t="shared" ref="Q29:Q37" si="18">R29+S29+T29</f>
        <v>0</v>
      </c>
      <c r="R29" s="761"/>
      <c r="S29" s="761"/>
      <c r="T29" s="761"/>
      <c r="U29" s="1235">
        <f t="shared" si="4"/>
        <v>0</v>
      </c>
      <c r="V29" s="761"/>
      <c r="W29" s="761"/>
      <c r="X29" s="1236"/>
      <c r="Y29" s="759">
        <f t="shared" si="9"/>
        <v>0</v>
      </c>
      <c r="Z29" s="1242"/>
      <c r="AA29" s="773"/>
      <c r="AB29" s="1242"/>
      <c r="AE29" s="622">
        <f t="shared" si="11"/>
        <v>0</v>
      </c>
      <c r="AF29" s="629"/>
      <c r="AG29" s="629"/>
      <c r="AH29" s="629"/>
      <c r="AI29" s="781">
        <f t="shared" si="12"/>
        <v>0</v>
      </c>
      <c r="AJ29" s="774"/>
      <c r="AK29" s="774"/>
      <c r="AL29" s="938"/>
      <c r="AM29" s="980"/>
      <c r="AN29" s="980"/>
      <c r="AO29" s="980"/>
      <c r="AP29" s="980"/>
      <c r="AQ29" s="980"/>
      <c r="AR29" s="980"/>
      <c r="AS29" s="980"/>
      <c r="AT29" s="980"/>
    </row>
    <row r="30" spans="1:54" ht="44.45" customHeight="1" x14ac:dyDescent="0.2">
      <c r="A30" s="88"/>
      <c r="B30" s="148" t="s">
        <v>327</v>
      </c>
      <c r="C30" s="89" t="s">
        <v>32</v>
      </c>
      <c r="D30" s="233"/>
      <c r="E30" s="189">
        <f>F30+G30+H30</f>
        <v>55</v>
      </c>
      <c r="F30" s="189">
        <f t="shared" si="17"/>
        <v>0</v>
      </c>
      <c r="G30" s="189">
        <f t="shared" si="17"/>
        <v>0</v>
      </c>
      <c r="H30" s="189">
        <f t="shared" si="16"/>
        <v>55</v>
      </c>
      <c r="I30" s="765"/>
      <c r="J30" s="770"/>
      <c r="K30" s="771"/>
      <c r="L30" s="772"/>
      <c r="M30" s="759"/>
      <c r="N30" s="759"/>
      <c r="O30" s="759"/>
      <c r="P30" s="759"/>
      <c r="Q30" s="761">
        <f>R30+S30+T30</f>
        <v>25</v>
      </c>
      <c r="R30" s="761"/>
      <c r="S30" s="761"/>
      <c r="T30" s="761">
        <v>25</v>
      </c>
      <c r="U30" s="761">
        <f>V30+W30+X30</f>
        <v>30</v>
      </c>
      <c r="V30" s="761"/>
      <c r="W30" s="761"/>
      <c r="X30" s="1236">
        <v>30</v>
      </c>
      <c r="Y30" s="759">
        <v>0</v>
      </c>
      <c r="Z30" s="1243"/>
      <c r="AA30" s="773"/>
      <c r="AB30" s="1242"/>
      <c r="AE30" s="622">
        <f t="shared" si="11"/>
        <v>0</v>
      </c>
      <c r="AF30" s="629"/>
      <c r="AG30" s="629"/>
      <c r="AH30" s="629"/>
      <c r="AI30" s="781">
        <f t="shared" si="12"/>
        <v>0</v>
      </c>
      <c r="AJ30" s="774"/>
      <c r="AK30" s="774"/>
      <c r="AL30" s="938"/>
      <c r="AM30" s="980"/>
      <c r="AN30" s="980"/>
      <c r="AO30" s="980"/>
      <c r="AP30" s="980"/>
      <c r="AQ30" s="980"/>
      <c r="AR30" s="980"/>
      <c r="AS30" s="980"/>
      <c r="AT30" s="980"/>
    </row>
    <row r="31" spans="1:54" ht="46.5" customHeight="1" x14ac:dyDescent="0.2">
      <c r="A31" s="93" t="s">
        <v>206</v>
      </c>
      <c r="B31" s="931" t="s">
        <v>41</v>
      </c>
      <c r="C31" s="94" t="s">
        <v>44</v>
      </c>
      <c r="D31" s="95"/>
      <c r="E31" s="188">
        <f>F31+G31+H31</f>
        <v>19742.709449999998</v>
      </c>
      <c r="F31" s="189">
        <f t="shared" si="17"/>
        <v>0</v>
      </c>
      <c r="G31" s="189">
        <f t="shared" si="17"/>
        <v>6206.8202999999994</v>
      </c>
      <c r="H31" s="189">
        <f t="shared" si="16"/>
        <v>13535.889149999999</v>
      </c>
      <c r="I31" s="1267">
        <f>J31+K31+L31</f>
        <v>3334.5</v>
      </c>
      <c r="J31" s="1268"/>
      <c r="K31" s="1268">
        <v>1552.9</v>
      </c>
      <c r="L31" s="1268">
        <f>L33+L34</f>
        <v>1781.6</v>
      </c>
      <c r="M31" s="1262">
        <f>N31+O31+P31</f>
        <v>2650.3</v>
      </c>
      <c r="N31" s="1262"/>
      <c r="O31" s="1262">
        <v>1342</v>
      </c>
      <c r="P31" s="1262">
        <v>1308.3</v>
      </c>
      <c r="Q31" s="1262">
        <f t="shared" si="18"/>
        <v>2480.1834799999997</v>
      </c>
      <c r="R31" s="1262"/>
      <c r="S31" s="1262">
        <f>S33+S34</f>
        <v>1392.8</v>
      </c>
      <c r="T31" s="1262">
        <f>T33</f>
        <v>1087.38348</v>
      </c>
      <c r="U31" s="1259">
        <f t="shared" ref="U31:U42" si="19">V31+W31+X31</f>
        <v>1771.9503</v>
      </c>
      <c r="V31" s="1272"/>
      <c r="W31" s="1273">
        <f>W33+W34</f>
        <v>485.45030000000003</v>
      </c>
      <c r="X31" s="1273">
        <f>X33+X34</f>
        <v>1286.5</v>
      </c>
      <c r="Y31" s="1259">
        <f t="shared" si="9"/>
        <v>1883.6814699999998</v>
      </c>
      <c r="Z31" s="1274">
        <f>Z33+Z34</f>
        <v>0</v>
      </c>
      <c r="AA31" s="1259">
        <f>AA33</f>
        <v>303</v>
      </c>
      <c r="AB31" s="1259">
        <f>AB33+AB34</f>
        <v>1580.6814699999998</v>
      </c>
      <c r="AC31" s="1275"/>
      <c r="AD31" s="1275"/>
      <c r="AE31" s="634">
        <f t="shared" si="11"/>
        <v>1891.3119999999999</v>
      </c>
      <c r="AF31" s="1021"/>
      <c r="AG31" s="190">
        <f>AG33+AG34+AG35</f>
        <v>298.512</v>
      </c>
      <c r="AH31" s="190">
        <f>AH33+AH34+AH35</f>
        <v>1592.8</v>
      </c>
      <c r="AI31" s="1521">
        <f t="shared" si="12"/>
        <v>1820.8600000000001</v>
      </c>
      <c r="AJ31" s="1522"/>
      <c r="AK31" s="699">
        <f>AK33</f>
        <v>235.16</v>
      </c>
      <c r="AL31" s="699">
        <f>AL33</f>
        <v>1585.7</v>
      </c>
      <c r="AM31" s="728">
        <f>AN31+AO31+AP31</f>
        <v>1894.0232000000001</v>
      </c>
      <c r="AN31" s="728">
        <f>AN32+AN33</f>
        <v>0</v>
      </c>
      <c r="AO31" s="728">
        <f>AO32+AO33</f>
        <v>298.49899999999997</v>
      </c>
      <c r="AP31" s="728">
        <f>AP33</f>
        <v>1595.5242000000001</v>
      </c>
      <c r="AQ31" s="728">
        <f>AR31+AS31+AT31</f>
        <v>2015.8990000000001</v>
      </c>
      <c r="AR31" s="728">
        <f>AR32+AR33</f>
        <v>0</v>
      </c>
      <c r="AS31" s="728">
        <f>AS32+AS33</f>
        <v>298.49899999999997</v>
      </c>
      <c r="AT31" s="728">
        <v>1717.4</v>
      </c>
    </row>
    <row r="32" spans="1:54" ht="12.75" customHeight="1" x14ac:dyDescent="0.2">
      <c r="A32" s="93"/>
      <c r="B32" s="96" t="s">
        <v>71</v>
      </c>
      <c r="C32" s="74"/>
      <c r="D32" s="91" t="s">
        <v>7</v>
      </c>
      <c r="E32" s="188"/>
      <c r="F32" s="188">
        <f>J32+N32+R32+V32</f>
        <v>0</v>
      </c>
      <c r="G32" s="189">
        <f>K32+O32+S32+W32+AA32</f>
        <v>0</v>
      </c>
      <c r="H32" s="189">
        <f t="shared" ref="H32:H39" si="20">L32+P32+T32+X32+AB32+AH32+AL32+AP32+AT32</f>
        <v>0</v>
      </c>
      <c r="I32" s="1267"/>
      <c r="J32" s="1268"/>
      <c r="K32" s="1268"/>
      <c r="L32" s="1268"/>
      <c r="M32" s="1262"/>
      <c r="N32" s="1262"/>
      <c r="O32" s="1262"/>
      <c r="P32" s="1262"/>
      <c r="Q32" s="1262">
        <f t="shared" si="18"/>
        <v>0</v>
      </c>
      <c r="R32" s="1262"/>
      <c r="S32" s="1262"/>
      <c r="T32" s="1262"/>
      <c r="U32" s="1259">
        <f t="shared" si="19"/>
        <v>0</v>
      </c>
      <c r="V32" s="1272"/>
      <c r="W32" s="1272"/>
      <c r="X32" s="1273"/>
      <c r="Y32" s="1259">
        <f t="shared" si="9"/>
        <v>0</v>
      </c>
      <c r="Z32" s="1276"/>
      <c r="AA32" s="1272"/>
      <c r="AB32" s="1277"/>
      <c r="AC32" s="1275"/>
      <c r="AD32" s="1275"/>
      <c r="AE32" s="634">
        <f t="shared" si="11"/>
        <v>0</v>
      </c>
      <c r="AF32" s="619"/>
      <c r="AG32" s="1021"/>
      <c r="AH32" s="1021"/>
      <c r="AI32" s="892">
        <f t="shared" si="12"/>
        <v>0</v>
      </c>
      <c r="AJ32" s="891"/>
      <c r="AK32" s="891"/>
      <c r="AL32" s="938"/>
      <c r="AM32" s="876"/>
      <c r="AN32" s="876"/>
      <c r="AO32" s="876"/>
      <c r="AP32" s="876"/>
      <c r="AQ32" s="876"/>
      <c r="AR32" s="876"/>
      <c r="AS32" s="876"/>
      <c r="AT32" s="876"/>
    </row>
    <row r="33" spans="1:46" ht="48" x14ac:dyDescent="0.2">
      <c r="A33" s="93"/>
      <c r="B33" s="68"/>
      <c r="C33" s="94" t="s">
        <v>44</v>
      </c>
      <c r="D33" s="97"/>
      <c r="E33" s="188">
        <f t="shared" ref="E33:E63" si="21">F33+G33+H33</f>
        <v>19511.399449999997</v>
      </c>
      <c r="F33" s="189">
        <f>J33+N33+R33+V33+Z33+AF33+AJ33+AN33+AR33</f>
        <v>0</v>
      </c>
      <c r="G33" s="189">
        <f>K33+O33+S33+W33+AA33+AG33+AK33+AO33+AS33</f>
        <v>6206.8202999999994</v>
      </c>
      <c r="H33" s="189">
        <f t="shared" si="20"/>
        <v>13304.57915</v>
      </c>
      <c r="I33" s="1267">
        <f t="shared" ref="I33:I55" si="22">J33+K33+L33</f>
        <v>3103.19</v>
      </c>
      <c r="J33" s="1268"/>
      <c r="K33" s="1268">
        <v>1552.9</v>
      </c>
      <c r="L33" s="1263">
        <v>1550.29</v>
      </c>
      <c r="M33" s="1262">
        <f t="shared" ref="M33:M42" si="23">N33+O33+P33</f>
        <v>2650.3</v>
      </c>
      <c r="N33" s="1262"/>
      <c r="O33" s="1262">
        <v>1342</v>
      </c>
      <c r="P33" s="1262">
        <v>1308.3</v>
      </c>
      <c r="Q33" s="1262">
        <f t="shared" si="18"/>
        <v>2480.1834799999997</v>
      </c>
      <c r="R33" s="1262"/>
      <c r="S33" s="1262">
        <v>1392.8</v>
      </c>
      <c r="T33" s="1262">
        <v>1087.38348</v>
      </c>
      <c r="U33" s="1259">
        <f t="shared" si="19"/>
        <v>1771.9503</v>
      </c>
      <c r="V33" s="1272"/>
      <c r="W33" s="1259">
        <v>485.45030000000003</v>
      </c>
      <c r="X33" s="1273">
        <f>1311.3-5-19.8</f>
        <v>1286.5</v>
      </c>
      <c r="Y33" s="1259">
        <f t="shared" si="9"/>
        <v>1883.6814699999998</v>
      </c>
      <c r="Z33" s="1259"/>
      <c r="AA33" s="1259">
        <f>492.6-189.6</f>
        <v>303</v>
      </c>
      <c r="AB33" s="1278">
        <f>1311.3+109+3.5-61+51.15629+198.5-31.77482</f>
        <v>1580.6814699999998</v>
      </c>
      <c r="AC33" s="1275"/>
      <c r="AD33" s="1275"/>
      <c r="AE33" s="634">
        <f t="shared" si="11"/>
        <v>1891.3119999999999</v>
      </c>
      <c r="AF33" s="619"/>
      <c r="AG33" s="637">
        <f>354.21504-55.70304</f>
        <v>298.512</v>
      </c>
      <c r="AH33" s="1022">
        <v>1592.8</v>
      </c>
      <c r="AI33" s="634">
        <f t="shared" si="12"/>
        <v>1820.8600000000001</v>
      </c>
      <c r="AJ33" s="893"/>
      <c r="AK33" s="637">
        <f>31.29+203.87</f>
        <v>235.16</v>
      </c>
      <c r="AL33" s="939">
        <v>1585.7</v>
      </c>
      <c r="AM33" s="876">
        <f>AO33+AP33</f>
        <v>1894.0232000000001</v>
      </c>
      <c r="AN33" s="876"/>
      <c r="AO33" s="876">
        <f>31.299+267.2</f>
        <v>298.49899999999997</v>
      </c>
      <c r="AP33" s="886">
        <f>1717.4-121.8758</f>
        <v>1595.5242000000001</v>
      </c>
      <c r="AQ33" s="876">
        <f>AR33+AS33+AT33</f>
        <v>2015.8990000000001</v>
      </c>
      <c r="AR33" s="876"/>
      <c r="AS33" s="876">
        <f>31.299+267.2</f>
        <v>298.49899999999997</v>
      </c>
      <c r="AT33" s="886">
        <v>1717.4</v>
      </c>
    </row>
    <row r="34" spans="1:46" ht="24" x14ac:dyDescent="0.2">
      <c r="A34" s="93"/>
      <c r="B34" s="94"/>
      <c r="C34" s="94" t="s">
        <v>70</v>
      </c>
      <c r="D34" s="97"/>
      <c r="E34" s="188">
        <f t="shared" si="21"/>
        <v>231.31</v>
      </c>
      <c r="F34" s="189">
        <f>J34+N34+R34+V34+Z34+AF34+AJ34+AN34+AR34</f>
        <v>0</v>
      </c>
      <c r="G34" s="189">
        <f>K34+O34+S34+W34+AA34+AG34+AK34+AO34+AS34</f>
        <v>0</v>
      </c>
      <c r="H34" s="189">
        <f t="shared" si="20"/>
        <v>231.31</v>
      </c>
      <c r="I34" s="1267">
        <f t="shared" si="22"/>
        <v>231.31</v>
      </c>
      <c r="J34" s="1268"/>
      <c r="K34" s="1268"/>
      <c r="L34" s="1263">
        <v>231.31</v>
      </c>
      <c r="M34" s="1262">
        <f t="shared" si="23"/>
        <v>0</v>
      </c>
      <c r="N34" s="1262"/>
      <c r="O34" s="1262"/>
      <c r="P34" s="1262"/>
      <c r="Q34" s="1262">
        <f t="shared" si="18"/>
        <v>0</v>
      </c>
      <c r="R34" s="1262"/>
      <c r="S34" s="1262"/>
      <c r="T34" s="1262"/>
      <c r="U34" s="1262">
        <f t="shared" si="19"/>
        <v>0</v>
      </c>
      <c r="V34" s="1279"/>
      <c r="W34" s="1279"/>
      <c r="X34" s="1280"/>
      <c r="Y34" s="1260">
        <f t="shared" si="9"/>
        <v>0</v>
      </c>
      <c r="Z34" s="1281"/>
      <c r="AA34" s="1272"/>
      <c r="AB34" s="1276"/>
      <c r="AC34" s="1275"/>
      <c r="AD34" s="1275"/>
      <c r="AE34" s="634">
        <f t="shared" si="11"/>
        <v>0</v>
      </c>
      <c r="AF34" s="619"/>
      <c r="AG34" s="1139"/>
      <c r="AH34" s="1142"/>
      <c r="AI34" s="634">
        <f t="shared" si="12"/>
        <v>0</v>
      </c>
      <c r="AJ34" s="893"/>
      <c r="AK34" s="893"/>
      <c r="AL34" s="940"/>
      <c r="AM34" s="876"/>
      <c r="AN34" s="876"/>
      <c r="AO34" s="876"/>
      <c r="AP34" s="876"/>
      <c r="AQ34" s="876"/>
      <c r="AR34" s="876"/>
      <c r="AS34" s="876"/>
      <c r="AT34" s="876"/>
    </row>
    <row r="35" spans="1:46" ht="22.5" customHeight="1" x14ac:dyDescent="0.2">
      <c r="A35" s="93"/>
      <c r="B35" s="148" t="s">
        <v>541</v>
      </c>
      <c r="C35" s="94" t="s">
        <v>380</v>
      </c>
      <c r="D35" s="97"/>
      <c r="E35" s="188">
        <f t="shared" si="21"/>
        <v>0</v>
      </c>
      <c r="F35" s="189">
        <f>J35+N35+R35+V35+Z35+AF35+AJ35</f>
        <v>0</v>
      </c>
      <c r="G35" s="189">
        <f>K35+O35+S35+W35+AA35+AG35+AK35</f>
        <v>0</v>
      </c>
      <c r="H35" s="189">
        <f t="shared" si="20"/>
        <v>0</v>
      </c>
      <c r="I35" s="1267"/>
      <c r="J35" s="1268"/>
      <c r="K35" s="1268"/>
      <c r="L35" s="1263"/>
      <c r="M35" s="1262"/>
      <c r="N35" s="1262"/>
      <c r="O35" s="1262"/>
      <c r="P35" s="1262"/>
      <c r="Q35" s="1262"/>
      <c r="R35" s="1262"/>
      <c r="S35" s="1262"/>
      <c r="T35" s="1262"/>
      <c r="U35" s="1262"/>
      <c r="V35" s="1279"/>
      <c r="W35" s="1262">
        <v>0</v>
      </c>
      <c r="X35" s="1280"/>
      <c r="Y35" s="1260"/>
      <c r="Z35" s="1281"/>
      <c r="AA35" s="1259">
        <v>0</v>
      </c>
      <c r="AB35" s="1276"/>
      <c r="AC35" s="1275"/>
      <c r="AD35" s="1275"/>
      <c r="AE35" s="634">
        <f>AF35+AG35+AH35</f>
        <v>0</v>
      </c>
      <c r="AF35" s="619"/>
      <c r="AG35" s="1140"/>
      <c r="AH35" s="1141"/>
      <c r="AI35" s="634">
        <f t="shared" si="12"/>
        <v>0</v>
      </c>
      <c r="AJ35" s="893"/>
      <c r="AK35" s="893"/>
      <c r="AL35" s="940"/>
      <c r="AM35" s="876"/>
      <c r="AN35" s="876"/>
      <c r="AO35" s="876"/>
      <c r="AP35" s="876"/>
      <c r="AQ35" s="876"/>
      <c r="AR35" s="876"/>
      <c r="AS35" s="876"/>
      <c r="AT35" s="876"/>
    </row>
    <row r="36" spans="1:46" ht="72" x14ac:dyDescent="0.2">
      <c r="A36" s="88" t="s">
        <v>205</v>
      </c>
      <c r="B36" s="90" t="s">
        <v>201</v>
      </c>
      <c r="C36" s="90" t="s">
        <v>60</v>
      </c>
      <c r="D36" s="89"/>
      <c r="E36" s="189">
        <f t="shared" si="21"/>
        <v>122395.05</v>
      </c>
      <c r="F36" s="189">
        <f t="shared" ref="F36:G40" si="24">J36+N36+R36+V36+Z36+AF36+AJ36+AN36+AR36</f>
        <v>0</v>
      </c>
      <c r="G36" s="189">
        <f t="shared" si="24"/>
        <v>122395.05</v>
      </c>
      <c r="H36" s="189">
        <f t="shared" si="20"/>
        <v>0</v>
      </c>
      <c r="I36" s="1257">
        <f>J36+K36+L36</f>
        <v>12100.8</v>
      </c>
      <c r="J36" s="1258"/>
      <c r="K36" s="1258">
        <v>12100.8</v>
      </c>
      <c r="L36" s="1258"/>
      <c r="M36" s="1259">
        <f>N36+O36+P36</f>
        <v>11121.9</v>
      </c>
      <c r="N36" s="1260"/>
      <c r="O36" s="1260">
        <v>11121.9</v>
      </c>
      <c r="P36" s="1260"/>
      <c r="Q36" s="1262">
        <f t="shared" si="18"/>
        <v>12103.8</v>
      </c>
      <c r="R36" s="1262"/>
      <c r="S36" s="1262">
        <v>12103.8</v>
      </c>
      <c r="T36" s="1262"/>
      <c r="U36" s="1262">
        <f t="shared" si="19"/>
        <v>11784.1</v>
      </c>
      <c r="V36" s="1262"/>
      <c r="W36" s="1259">
        <v>11784.1</v>
      </c>
      <c r="X36" s="1273"/>
      <c r="Y36" s="1259">
        <f>Z36+AA36+AB36</f>
        <v>13763.2</v>
      </c>
      <c r="Z36" s="1272"/>
      <c r="AA36" s="1272">
        <v>13763.2</v>
      </c>
      <c r="AB36" s="1272"/>
      <c r="AC36" s="1275"/>
      <c r="AD36" s="1275"/>
      <c r="AE36" s="634">
        <f t="shared" si="11"/>
        <v>15554.4</v>
      </c>
      <c r="AF36" s="619"/>
      <c r="AG36" s="638">
        <f>12920.5+2633.9</f>
        <v>15554.4</v>
      </c>
      <c r="AH36" s="776"/>
      <c r="AI36" s="634">
        <f t="shared" si="12"/>
        <v>15322.25</v>
      </c>
      <c r="AJ36" s="893"/>
      <c r="AK36" s="637">
        <v>15322.25</v>
      </c>
      <c r="AL36" s="940"/>
      <c r="AM36" s="1025">
        <f t="shared" ref="AM36:AM47" si="25">AN36+AO36+AP36</f>
        <v>15322.3</v>
      </c>
      <c r="AN36" s="876"/>
      <c r="AO36" s="876">
        <v>15322.3</v>
      </c>
      <c r="AP36" s="876"/>
      <c r="AQ36" s="1025">
        <f t="shared" ref="AQ36:AQ64" si="26">AR36+AS36+AT36</f>
        <v>15322.3</v>
      </c>
      <c r="AR36" s="876"/>
      <c r="AS36" s="876">
        <v>15322.3</v>
      </c>
      <c r="AT36" s="876"/>
    </row>
    <row r="37" spans="1:46" ht="72" x14ac:dyDescent="0.2">
      <c r="A37" s="88" t="s">
        <v>207</v>
      </c>
      <c r="B37" s="90" t="s">
        <v>298</v>
      </c>
      <c r="C37" s="90" t="s">
        <v>60</v>
      </c>
      <c r="D37" s="90"/>
      <c r="E37" s="189">
        <f t="shared" si="21"/>
        <v>2992.3199999999997</v>
      </c>
      <c r="F37" s="189">
        <f t="shared" si="24"/>
        <v>0</v>
      </c>
      <c r="G37" s="189">
        <f t="shared" si="24"/>
        <v>2992.3199999999997</v>
      </c>
      <c r="H37" s="189">
        <f t="shared" si="20"/>
        <v>0</v>
      </c>
      <c r="I37" s="1282">
        <f t="shared" si="22"/>
        <v>290.39999999999998</v>
      </c>
      <c r="J37" s="1258"/>
      <c r="K37" s="1258">
        <v>290.39999999999998</v>
      </c>
      <c r="L37" s="1258"/>
      <c r="M37" s="1260">
        <f t="shared" si="23"/>
        <v>222.4</v>
      </c>
      <c r="N37" s="1260"/>
      <c r="O37" s="1260">
        <v>222.4</v>
      </c>
      <c r="P37" s="1260"/>
      <c r="Q37" s="1262">
        <f t="shared" si="18"/>
        <v>302.60000000000002</v>
      </c>
      <c r="R37" s="1262"/>
      <c r="S37" s="1262">
        <v>302.60000000000002</v>
      </c>
      <c r="T37" s="1262"/>
      <c r="U37" s="1262">
        <f t="shared" si="19"/>
        <v>294.60000000000002</v>
      </c>
      <c r="V37" s="1279"/>
      <c r="W37" s="1272">
        <v>294.60000000000002</v>
      </c>
      <c r="X37" s="1273"/>
      <c r="Y37" s="1259">
        <f t="shared" si="9"/>
        <v>344.1</v>
      </c>
      <c r="Z37" s="1276"/>
      <c r="AA37" s="1272">
        <v>344.1</v>
      </c>
      <c r="AB37" s="1276"/>
      <c r="AC37" s="1275"/>
      <c r="AD37" s="1275"/>
      <c r="AE37" s="634">
        <f t="shared" si="11"/>
        <v>388.9</v>
      </c>
      <c r="AF37" s="619"/>
      <c r="AG37" s="1452">
        <f>323+65.9</f>
        <v>388.9</v>
      </c>
      <c r="AH37" s="1453"/>
      <c r="AI37" s="634">
        <f t="shared" si="12"/>
        <v>383.12</v>
      </c>
      <c r="AJ37" s="893"/>
      <c r="AK37" s="637">
        <v>383.12</v>
      </c>
      <c r="AL37" s="940"/>
      <c r="AM37" s="1025">
        <f t="shared" si="25"/>
        <v>383.1</v>
      </c>
      <c r="AN37" s="876"/>
      <c r="AO37" s="876">
        <v>383.1</v>
      </c>
      <c r="AP37" s="876"/>
      <c r="AQ37" s="1025">
        <f t="shared" si="26"/>
        <v>383.1</v>
      </c>
      <c r="AR37" s="876"/>
      <c r="AS37" s="876">
        <v>383.1</v>
      </c>
      <c r="AT37" s="876"/>
    </row>
    <row r="38" spans="1:46" ht="36" x14ac:dyDescent="0.2">
      <c r="A38" s="88" t="s">
        <v>208</v>
      </c>
      <c r="B38" s="90" t="s">
        <v>299</v>
      </c>
      <c r="C38" s="90" t="s">
        <v>43</v>
      </c>
      <c r="D38" s="90"/>
      <c r="E38" s="189">
        <f>F38+G38+H38</f>
        <v>2823.74</v>
      </c>
      <c r="F38" s="189">
        <f t="shared" si="24"/>
        <v>0</v>
      </c>
      <c r="G38" s="189">
        <f t="shared" si="24"/>
        <v>2823.74</v>
      </c>
      <c r="H38" s="189">
        <f t="shared" si="20"/>
        <v>0</v>
      </c>
      <c r="I38" s="1257">
        <f>J38+K38+L38</f>
        <v>2823.74</v>
      </c>
      <c r="J38" s="1258"/>
      <c r="K38" s="1258">
        <v>2823.74</v>
      </c>
      <c r="L38" s="1258"/>
      <c r="M38" s="1259">
        <f>N38+O38+P38</f>
        <v>0</v>
      </c>
      <c r="N38" s="1260"/>
      <c r="O38" s="1260"/>
      <c r="P38" s="1260"/>
      <c r="Q38" s="1262">
        <f>R38+S38+T38</f>
        <v>0</v>
      </c>
      <c r="R38" s="1262"/>
      <c r="S38" s="1262"/>
      <c r="T38" s="1262"/>
      <c r="U38" s="1262">
        <f>V38+W38+X38</f>
        <v>0</v>
      </c>
      <c r="V38" s="1262"/>
      <c r="W38" s="1272"/>
      <c r="X38" s="1273"/>
      <c r="Y38" s="1259">
        <f t="shared" si="9"/>
        <v>0</v>
      </c>
      <c r="Z38" s="1276"/>
      <c r="AA38" s="1272"/>
      <c r="AB38" s="1276"/>
      <c r="AC38" s="1275"/>
      <c r="AD38" s="1275"/>
      <c r="AE38" s="634">
        <f t="shared" si="11"/>
        <v>0</v>
      </c>
      <c r="AF38" s="619"/>
      <c r="AG38" s="638"/>
      <c r="AH38" s="776"/>
      <c r="AI38" s="781">
        <f t="shared" si="12"/>
        <v>0</v>
      </c>
      <c r="AJ38" s="774"/>
      <c r="AK38" s="774"/>
      <c r="AL38" s="938"/>
      <c r="AM38" s="1025">
        <f t="shared" si="25"/>
        <v>0</v>
      </c>
      <c r="AN38" s="876"/>
      <c r="AO38" s="876"/>
      <c r="AP38" s="876"/>
      <c r="AQ38" s="1025">
        <f t="shared" si="26"/>
        <v>0</v>
      </c>
      <c r="AR38" s="876"/>
      <c r="AS38" s="876"/>
      <c r="AT38" s="876"/>
    </row>
    <row r="39" spans="1:46" ht="24" x14ac:dyDescent="0.2">
      <c r="A39" s="88" t="s">
        <v>209</v>
      </c>
      <c r="B39" s="90" t="s">
        <v>300</v>
      </c>
      <c r="C39" s="90" t="s">
        <v>43</v>
      </c>
      <c r="D39" s="90"/>
      <c r="E39" s="189">
        <f>F39+G39+H39</f>
        <v>1837.06</v>
      </c>
      <c r="F39" s="189">
        <f t="shared" si="24"/>
        <v>0</v>
      </c>
      <c r="G39" s="189">
        <f t="shared" si="24"/>
        <v>1837.06</v>
      </c>
      <c r="H39" s="189">
        <f t="shared" si="20"/>
        <v>0</v>
      </c>
      <c r="I39" s="765">
        <f>J39+K39+L39</f>
        <v>1837.06</v>
      </c>
      <c r="J39" s="766"/>
      <c r="K39" s="766">
        <v>1837.06</v>
      </c>
      <c r="L39" s="766"/>
      <c r="M39" s="758">
        <f>N39+O39+P39</f>
        <v>0</v>
      </c>
      <c r="N39" s="759"/>
      <c r="O39" s="759"/>
      <c r="P39" s="759"/>
      <c r="Q39" s="761">
        <f>R39+S39+T39</f>
        <v>0</v>
      </c>
      <c r="R39" s="761"/>
      <c r="S39" s="761"/>
      <c r="T39" s="761"/>
      <c r="U39" s="761">
        <f>V39+W39+X39</f>
        <v>0</v>
      </c>
      <c r="V39" s="1235"/>
      <c r="W39" s="1235"/>
      <c r="X39" s="1236"/>
      <c r="Y39" s="759">
        <f t="shared" si="9"/>
        <v>0</v>
      </c>
      <c r="Z39" s="1242"/>
      <c r="AA39" s="1235"/>
      <c r="AB39" s="1242"/>
      <c r="AE39" s="622">
        <f t="shared" si="11"/>
        <v>0</v>
      </c>
      <c r="AF39" s="618"/>
      <c r="AG39" s="630"/>
      <c r="AH39" s="775"/>
      <c r="AI39" s="781">
        <f t="shared" si="12"/>
        <v>0</v>
      </c>
      <c r="AJ39" s="774"/>
      <c r="AK39" s="774"/>
      <c r="AL39" s="938"/>
      <c r="AM39" s="871">
        <f t="shared" si="25"/>
        <v>0</v>
      </c>
      <c r="AN39" s="951"/>
      <c r="AO39" s="951"/>
      <c r="AP39" s="951"/>
      <c r="AQ39" s="871">
        <f t="shared" si="26"/>
        <v>0</v>
      </c>
      <c r="AR39" s="951"/>
      <c r="AS39" s="951"/>
      <c r="AT39" s="951"/>
    </row>
    <row r="40" spans="1:46" ht="117.75" customHeight="1" x14ac:dyDescent="0.2">
      <c r="A40" s="88" t="s">
        <v>542</v>
      </c>
      <c r="B40" s="542" t="s">
        <v>588</v>
      </c>
      <c r="C40" s="90" t="s">
        <v>321</v>
      </c>
      <c r="D40" s="90"/>
      <c r="E40" s="189">
        <f>F40+G40+H40</f>
        <v>57704.811809999999</v>
      </c>
      <c r="F40" s="189">
        <f t="shared" si="24"/>
        <v>0</v>
      </c>
      <c r="G40" s="189">
        <f t="shared" si="24"/>
        <v>0</v>
      </c>
      <c r="H40" s="189">
        <f t="shared" ref="H40:H54" si="27">L40+P40+T40+X40+AB40+AH40+AL40+AP40+AT40</f>
        <v>57704.811809999999</v>
      </c>
      <c r="I40" s="765"/>
      <c r="J40" s="766"/>
      <c r="K40" s="766"/>
      <c r="L40" s="766"/>
      <c r="M40" s="1259"/>
      <c r="N40" s="1260"/>
      <c r="O40" s="1260"/>
      <c r="P40" s="1260"/>
      <c r="Q40" s="1262"/>
      <c r="R40" s="1262"/>
      <c r="S40" s="1262"/>
      <c r="T40" s="1262"/>
      <c r="U40" s="1262">
        <f>V40+W40+X40</f>
        <v>11392.1</v>
      </c>
      <c r="V40" s="1279"/>
      <c r="W40" s="1279"/>
      <c r="X40" s="1280">
        <v>11392.1</v>
      </c>
      <c r="Y40" s="1260">
        <f t="shared" si="9"/>
        <v>12513.594570000001</v>
      </c>
      <c r="Z40" s="1281"/>
      <c r="AA40" s="1279"/>
      <c r="AB40" s="1283">
        <f>9470-100+2.9+800+809.85+715+825.78611+3.25512-13.19666</f>
        <v>12513.594570000001</v>
      </c>
      <c r="AC40" s="165"/>
      <c r="AD40" s="165"/>
      <c r="AE40" s="830">
        <f t="shared" si="11"/>
        <v>12735.2</v>
      </c>
      <c r="AF40" s="1020"/>
      <c r="AG40" s="886"/>
      <c r="AH40" s="943">
        <v>12735.2</v>
      </c>
      <c r="AI40" s="871">
        <f t="shared" si="12"/>
        <v>10269.858619999999</v>
      </c>
      <c r="AJ40" s="883"/>
      <c r="AK40" s="883"/>
      <c r="AL40" s="885">
        <f>10794.05862-125-75.6-91-90-142.6</f>
        <v>10269.858619999999</v>
      </c>
      <c r="AM40" s="871">
        <f t="shared" si="25"/>
        <v>0</v>
      </c>
      <c r="AN40" s="951"/>
      <c r="AO40" s="951"/>
      <c r="AP40" s="876">
        <v>0</v>
      </c>
      <c r="AQ40" s="871">
        <f t="shared" si="26"/>
        <v>10794.05862</v>
      </c>
      <c r="AR40" s="951"/>
      <c r="AS40" s="951"/>
      <c r="AT40" s="876">
        <v>10794.05862</v>
      </c>
    </row>
    <row r="41" spans="1:46" ht="69.75" customHeight="1" x14ac:dyDescent="0.2">
      <c r="A41" s="81"/>
      <c r="B41" s="383" t="s">
        <v>187</v>
      </c>
      <c r="C41" s="383"/>
      <c r="D41" s="383"/>
      <c r="E41" s="184">
        <f t="shared" si="21"/>
        <v>183676.22159999999</v>
      </c>
      <c r="F41" s="184">
        <f>J41+N41+R41+V41+Z41+AF41+AJ41+AN41</f>
        <v>6113.1</v>
      </c>
      <c r="G41" s="184">
        <f>K41+O41+S41+W41+AA41+AG41+AK41+AO41</f>
        <v>12302.12298</v>
      </c>
      <c r="H41" s="184">
        <f t="shared" si="27"/>
        <v>165260.99862</v>
      </c>
      <c r="I41" s="1244">
        <f t="shared" si="22"/>
        <v>4563.7</v>
      </c>
      <c r="J41" s="1244">
        <f>J42+J74+J85</f>
        <v>0</v>
      </c>
      <c r="K41" s="1244">
        <f>K42+K74+K85</f>
        <v>0</v>
      </c>
      <c r="L41" s="1244">
        <f>L42+L74+L85</f>
        <v>4563.7</v>
      </c>
      <c r="M41" s="1244">
        <f t="shared" si="23"/>
        <v>3095.8</v>
      </c>
      <c r="N41" s="1244">
        <f>N42+N74+N85</f>
        <v>0</v>
      </c>
      <c r="O41" s="1244">
        <f>O42+O74+O85</f>
        <v>1593</v>
      </c>
      <c r="P41" s="1244">
        <f>P42+P74+P85</f>
        <v>1502.8</v>
      </c>
      <c r="Q41" s="1244">
        <f t="shared" ref="Q41:Q46" si="28">R41+S41+T41</f>
        <v>2246.5686000000001</v>
      </c>
      <c r="R41" s="1244">
        <f>R42+R74+R85</f>
        <v>0</v>
      </c>
      <c r="S41" s="1244">
        <f>S42+S74+S85</f>
        <v>0</v>
      </c>
      <c r="T41" s="1244">
        <f>T42+T74+T85</f>
        <v>2246.5686000000001</v>
      </c>
      <c r="U41" s="1245">
        <f t="shared" si="19"/>
        <v>14563.573</v>
      </c>
      <c r="V41" s="1245">
        <f>V42+V74+V85</f>
        <v>0</v>
      </c>
      <c r="W41" s="1245">
        <f>W42+W74+W85</f>
        <v>0</v>
      </c>
      <c r="X41" s="1284">
        <f>X42+X74+X85</f>
        <v>14563.573</v>
      </c>
      <c r="Y41" s="1285">
        <f>Z41+AA41+AB41</f>
        <v>15095.393779999999</v>
      </c>
      <c r="Z41" s="1285">
        <f>Z42+Z74+Z85</f>
        <v>0</v>
      </c>
      <c r="AA41" s="1286">
        <f>AA42+AA74+AA85</f>
        <v>83.092979999999997</v>
      </c>
      <c r="AB41" s="1285">
        <f>AB42+AB74+AB85</f>
        <v>15012.300799999999</v>
      </c>
      <c r="AC41" s="711"/>
      <c r="AD41" s="711"/>
      <c r="AE41" s="719">
        <f t="shared" si="11"/>
        <v>25039.371599999991</v>
      </c>
      <c r="AF41" s="718">
        <f>AF42+AF74+AF85</f>
        <v>0</v>
      </c>
      <c r="AG41" s="718">
        <f>AG42+AG74+AG85</f>
        <v>5138.83</v>
      </c>
      <c r="AH41" s="777">
        <f>AH42+AH74+AH85</f>
        <v>19900.541599999993</v>
      </c>
      <c r="AI41" s="1477">
        <f>AJ41+AK41+AL41</f>
        <v>41168.70882</v>
      </c>
      <c r="AJ41" s="777">
        <f>AJ42+AJ74+AJ85</f>
        <v>3797.5</v>
      </c>
      <c r="AK41" s="777">
        <f>AK42+AK74+AK85</f>
        <v>2743.6</v>
      </c>
      <c r="AL41" s="777">
        <f>AL42+AL74+AL85</f>
        <v>34627.608820000001</v>
      </c>
      <c r="AM41" s="730">
        <f t="shared" si="25"/>
        <v>36383.215799999998</v>
      </c>
      <c r="AN41" s="718">
        <f>AN42+AN74+AN85</f>
        <v>2315.6</v>
      </c>
      <c r="AO41" s="718">
        <f>AO42+AO74+AO85</f>
        <v>2743.6</v>
      </c>
      <c r="AP41" s="718">
        <f>AP42+AP74+AP85</f>
        <v>31324.015800000001</v>
      </c>
      <c r="AQ41" s="730">
        <f t="shared" si="26"/>
        <v>44263.490000000005</v>
      </c>
      <c r="AR41" s="1035">
        <f>AR42+AR74+AR85</f>
        <v>0</v>
      </c>
      <c r="AS41" s="1035">
        <f>AS42+AS74+AS85</f>
        <v>2743.6</v>
      </c>
      <c r="AT41" s="1035">
        <f>AT42+AT74+AT85</f>
        <v>41519.890000000007</v>
      </c>
    </row>
    <row r="42" spans="1:46" ht="35.25" customHeight="1" x14ac:dyDescent="0.2">
      <c r="A42" s="85" t="s">
        <v>13</v>
      </c>
      <c r="B42" s="99" t="s">
        <v>210</v>
      </c>
      <c r="C42" s="100"/>
      <c r="D42" s="100"/>
      <c r="E42" s="192">
        <f t="shared" si="21"/>
        <v>177275.65960000001</v>
      </c>
      <c r="F42" s="185">
        <f t="shared" ref="F42:G50" si="29">J42+N42+R42+V42+Z42+AF42+AJ42+AN42+AR42</f>
        <v>6113.1</v>
      </c>
      <c r="G42" s="185">
        <f t="shared" si="29"/>
        <v>15045.72298</v>
      </c>
      <c r="H42" s="185">
        <f t="shared" si="27"/>
        <v>156116.83662000002</v>
      </c>
      <c r="I42" s="1287">
        <f t="shared" si="22"/>
        <v>3735.7</v>
      </c>
      <c r="J42" s="1287">
        <f>J43+J48+J53</f>
        <v>0</v>
      </c>
      <c r="K42" s="1287">
        <f>K43+K48+K53</f>
        <v>0</v>
      </c>
      <c r="L42" s="1287">
        <f>L43+L48+L53</f>
        <v>3735.7</v>
      </c>
      <c r="M42" s="1287">
        <f t="shared" si="23"/>
        <v>2317.8000000000002</v>
      </c>
      <c r="N42" s="1287">
        <f>N43+N48+N53</f>
        <v>0</v>
      </c>
      <c r="O42" s="1287">
        <f>O43+O48+O53</f>
        <v>1593</v>
      </c>
      <c r="P42" s="1287">
        <f>P43+P48+P53</f>
        <v>724.8</v>
      </c>
      <c r="Q42" s="1287">
        <f t="shared" si="28"/>
        <v>1400.2139999999999</v>
      </c>
      <c r="R42" s="1287">
        <f>R43+R48+R53</f>
        <v>0</v>
      </c>
      <c r="S42" s="1287">
        <f>S43+S48+S53</f>
        <v>0</v>
      </c>
      <c r="T42" s="1287">
        <f>T43+T48+T53</f>
        <v>1400.2139999999999</v>
      </c>
      <c r="U42" s="1288">
        <f t="shared" si="19"/>
        <v>13613.273000000001</v>
      </c>
      <c r="V42" s="1288">
        <f>V43+V48+V53</f>
        <v>0</v>
      </c>
      <c r="W42" s="1288">
        <f>W43+W48+W53</f>
        <v>0</v>
      </c>
      <c r="X42" s="1289">
        <f>X43+X48+X53+X64</f>
        <v>13613.273000000001</v>
      </c>
      <c r="Y42" s="1290">
        <f>Z42+AA42+AB42</f>
        <v>13858.707979999999</v>
      </c>
      <c r="Z42" s="1291">
        <f>Z43+Z48+Z53</f>
        <v>0</v>
      </c>
      <c r="AA42" s="1292">
        <f>AA43+AA48+AA53</f>
        <v>83.092979999999997</v>
      </c>
      <c r="AB42" s="1291">
        <f>AB43+AB48+AB53</f>
        <v>13775.615</v>
      </c>
      <c r="AC42" s="707"/>
      <c r="AD42" s="707"/>
      <c r="AE42" s="695">
        <f t="shared" ref="AE42:AE49" si="30">AF42+AG42+AH42</f>
        <v>23817.749999999993</v>
      </c>
      <c r="AF42" s="620">
        <f>AF43+AF48+AF53</f>
        <v>0</v>
      </c>
      <c r="AG42" s="620">
        <f>AG43+AG48+AG53</f>
        <v>5138.83</v>
      </c>
      <c r="AH42" s="620">
        <f>AH43+AH48+AH53</f>
        <v>18678.919999999995</v>
      </c>
      <c r="AI42" s="728">
        <f>AJ42+AK42+AL42</f>
        <v>40074.308819999998</v>
      </c>
      <c r="AJ42" s="620">
        <f>AJ43+AJ48+AJ53</f>
        <v>3797.5</v>
      </c>
      <c r="AK42" s="620">
        <f>AK43+AK48+AK53</f>
        <v>2743.6</v>
      </c>
      <c r="AL42" s="941">
        <f>AL43+AL48+AL53</f>
        <v>33533.20882</v>
      </c>
      <c r="AM42" s="873">
        <f t="shared" si="25"/>
        <v>35288.815799999997</v>
      </c>
      <c r="AN42" s="1478">
        <f>AN43+AN48+AN53</f>
        <v>2315.6</v>
      </c>
      <c r="AO42" s="1478">
        <f>AO43+AO48+AO53</f>
        <v>2743.6</v>
      </c>
      <c r="AP42" s="1478">
        <f>AP43+AP48+AP53</f>
        <v>30229.6158</v>
      </c>
      <c r="AQ42" s="873">
        <f t="shared" si="26"/>
        <v>43169.090000000004</v>
      </c>
      <c r="AR42" s="620">
        <f>AR43+AR48+AR53</f>
        <v>0</v>
      </c>
      <c r="AS42" s="620">
        <f>AS43+AS48+AS53</f>
        <v>2743.6</v>
      </c>
      <c r="AT42" s="620">
        <f>AT43+AT48+AT53</f>
        <v>40425.490000000005</v>
      </c>
    </row>
    <row r="43" spans="1:46" ht="28.5" customHeight="1" x14ac:dyDescent="0.2">
      <c r="A43" s="712" t="s">
        <v>14</v>
      </c>
      <c r="B43" s="720" t="s">
        <v>211</v>
      </c>
      <c r="C43" s="721"/>
      <c r="D43" s="721"/>
      <c r="E43" s="273">
        <f t="shared" si="21"/>
        <v>7313.6440000000002</v>
      </c>
      <c r="F43" s="197">
        <f t="shared" si="29"/>
        <v>0</v>
      </c>
      <c r="G43" s="197">
        <f t="shared" si="29"/>
        <v>1593</v>
      </c>
      <c r="H43" s="197">
        <f t="shared" si="27"/>
        <v>5720.6440000000002</v>
      </c>
      <c r="I43" s="1293">
        <f>J43+K43+L43</f>
        <v>2878.7</v>
      </c>
      <c r="J43" s="1294">
        <f>J44+J45+J46</f>
        <v>0</v>
      </c>
      <c r="K43" s="1294">
        <f>K44+K45+K46</f>
        <v>0</v>
      </c>
      <c r="L43" s="1294">
        <f>L44+L45+L46</f>
        <v>2878.7</v>
      </c>
      <c r="M43" s="1293">
        <f>N43+O43+P43</f>
        <v>2257.8000000000002</v>
      </c>
      <c r="N43" s="1293">
        <f>N44+N45+N46</f>
        <v>0</v>
      </c>
      <c r="O43" s="1293">
        <f>O44+O45+O46</f>
        <v>1593</v>
      </c>
      <c r="P43" s="1293">
        <f>P44+P45+P46</f>
        <v>664.8</v>
      </c>
      <c r="Q43" s="1293">
        <f>R43+S43+T43</f>
        <v>1070.2139999999999</v>
      </c>
      <c r="R43" s="1293">
        <f>R44+R45+R46</f>
        <v>0</v>
      </c>
      <c r="S43" s="1293">
        <f>S44+S45+S46</f>
        <v>0</v>
      </c>
      <c r="T43" s="1293">
        <f>T44+T45+T46+T47</f>
        <v>1070.2139999999999</v>
      </c>
      <c r="U43" s="1295">
        <f>V43+W43+X43</f>
        <v>1106.93</v>
      </c>
      <c r="V43" s="1295">
        <f>V44+V45+V46</f>
        <v>0</v>
      </c>
      <c r="W43" s="1295">
        <f>W44+W45+W46</f>
        <v>0</v>
      </c>
      <c r="X43" s="1296">
        <f>X44+X45+X46+X47</f>
        <v>1106.93</v>
      </c>
      <c r="Y43" s="1297">
        <f>Z43+AA43+AB43</f>
        <v>0</v>
      </c>
      <c r="Z43" s="1297">
        <f>Z44+Z45+Z46</f>
        <v>0</v>
      </c>
      <c r="AA43" s="1295">
        <f>AA44+AA45+AA46</f>
        <v>0</v>
      </c>
      <c r="AB43" s="1297">
        <f>AB44+AB45+AB46+AB47</f>
        <v>0</v>
      </c>
      <c r="AC43" s="117"/>
      <c r="AD43" s="117"/>
      <c r="AE43" s="640">
        <f t="shared" si="30"/>
        <v>0</v>
      </c>
      <c r="AF43" s="1392">
        <f>AF44+AF45+AF46+AF47</f>
        <v>0</v>
      </c>
      <c r="AG43" s="1392">
        <f>AG44+AG45+AG46+AG47</f>
        <v>0</v>
      </c>
      <c r="AH43" s="1393">
        <f>AH44+AH45+AH46+AH47</f>
        <v>0</v>
      </c>
      <c r="AI43" s="874">
        <f>AJ43+AK43+AL43</f>
        <v>0</v>
      </c>
      <c r="AJ43" s="874"/>
      <c r="AK43" s="874"/>
      <c r="AL43" s="942"/>
      <c r="AM43" s="872">
        <f t="shared" si="25"/>
        <v>0</v>
      </c>
      <c r="AN43" s="872">
        <f>AN44+AN45+AN46+AN47</f>
        <v>0</v>
      </c>
      <c r="AO43" s="872">
        <f>AO44+AO45+AO46+AO47</f>
        <v>0</v>
      </c>
      <c r="AP43" s="872">
        <f>AP44+AP45+AP46+AP47</f>
        <v>0</v>
      </c>
      <c r="AQ43" s="872">
        <f t="shared" si="26"/>
        <v>0</v>
      </c>
      <c r="AR43" s="872">
        <f>AR44+AR45+AR46+AR47</f>
        <v>0</v>
      </c>
      <c r="AS43" s="872">
        <f>AS44+AS45+AS46+AS47</f>
        <v>0</v>
      </c>
      <c r="AT43" s="872">
        <f>AT44+AT45+AT46+AT47</f>
        <v>0</v>
      </c>
    </row>
    <row r="44" spans="1:46" ht="51" customHeight="1" x14ac:dyDescent="0.2">
      <c r="A44" s="712" t="s">
        <v>212</v>
      </c>
      <c r="B44" s="722" t="s">
        <v>214</v>
      </c>
      <c r="C44" s="716" t="s">
        <v>559</v>
      </c>
      <c r="D44" s="713" t="s">
        <v>7</v>
      </c>
      <c r="E44" s="187">
        <f t="shared" si="21"/>
        <v>5783.6440000000002</v>
      </c>
      <c r="F44" s="187">
        <f t="shared" si="29"/>
        <v>0</v>
      </c>
      <c r="G44" s="187">
        <f t="shared" si="29"/>
        <v>1593</v>
      </c>
      <c r="H44" s="187">
        <f t="shared" si="27"/>
        <v>4190.6440000000002</v>
      </c>
      <c r="I44" s="1257">
        <f t="shared" si="22"/>
        <v>1348.7</v>
      </c>
      <c r="J44" s="1298"/>
      <c r="K44" s="1298">
        <v>0</v>
      </c>
      <c r="L44" s="1298">
        <v>1348.7</v>
      </c>
      <c r="M44" s="1257">
        <f t="shared" ref="M44:M55" si="31">N44+O44+P44</f>
        <v>2257.8000000000002</v>
      </c>
      <c r="N44" s="1257"/>
      <c r="O44" s="1259">
        <v>1593</v>
      </c>
      <c r="P44" s="1259">
        <v>664.8</v>
      </c>
      <c r="Q44" s="1257">
        <f t="shared" si="28"/>
        <v>1070.2139999999999</v>
      </c>
      <c r="R44" s="1257"/>
      <c r="S44" s="1259">
        <v>0</v>
      </c>
      <c r="T44" s="1259">
        <v>1070.2139999999999</v>
      </c>
      <c r="U44" s="1299">
        <f t="shared" ref="U44:U63" si="32">V44+W44+X44</f>
        <v>1106.93</v>
      </c>
      <c r="V44" s="1299"/>
      <c r="W44" s="1259">
        <v>0</v>
      </c>
      <c r="X44" s="1273">
        <f>1090+16.93</f>
        <v>1106.93</v>
      </c>
      <c r="Y44" s="1297"/>
      <c r="Z44" s="1297"/>
      <c r="AA44" s="1259">
        <v>0</v>
      </c>
      <c r="AB44" s="1297"/>
      <c r="AC44" s="117"/>
      <c r="AD44" s="117"/>
      <c r="AE44" s="639">
        <f t="shared" si="30"/>
        <v>0</v>
      </c>
      <c r="AF44" s="619"/>
      <c r="AG44" s="619"/>
      <c r="AH44" s="776"/>
      <c r="AI44" s="874">
        <f t="shared" ref="AI44:AI73" si="33">AJ44+AK44+AL44</f>
        <v>0</v>
      </c>
      <c r="AJ44" s="874"/>
      <c r="AK44" s="874"/>
      <c r="AL44" s="942"/>
      <c r="AM44" s="872">
        <f t="shared" si="25"/>
        <v>0</v>
      </c>
      <c r="AN44" s="872"/>
      <c r="AO44" s="872"/>
      <c r="AP44" s="872"/>
      <c r="AQ44" s="872">
        <f t="shared" si="26"/>
        <v>0</v>
      </c>
      <c r="AR44" s="872"/>
      <c r="AS44" s="872"/>
      <c r="AT44" s="872"/>
    </row>
    <row r="45" spans="1:46" ht="41.25" customHeight="1" x14ac:dyDescent="0.2">
      <c r="A45" s="712" t="s">
        <v>253</v>
      </c>
      <c r="B45" s="723" t="s">
        <v>213</v>
      </c>
      <c r="C45" s="723" t="s">
        <v>57</v>
      </c>
      <c r="D45" s="713" t="s">
        <v>7</v>
      </c>
      <c r="E45" s="187">
        <f t="shared" si="21"/>
        <v>1461</v>
      </c>
      <c r="F45" s="187">
        <f t="shared" si="29"/>
        <v>0</v>
      </c>
      <c r="G45" s="187">
        <f t="shared" si="29"/>
        <v>0</v>
      </c>
      <c r="H45" s="187">
        <f t="shared" si="27"/>
        <v>1461</v>
      </c>
      <c r="I45" s="1257">
        <f t="shared" si="22"/>
        <v>1461</v>
      </c>
      <c r="J45" s="1298"/>
      <c r="K45" s="1298">
        <v>0</v>
      </c>
      <c r="L45" s="1298">
        <v>1461</v>
      </c>
      <c r="M45" s="1257">
        <f t="shared" si="31"/>
        <v>0</v>
      </c>
      <c r="N45" s="1257"/>
      <c r="O45" s="1259">
        <v>0</v>
      </c>
      <c r="P45" s="1259">
        <v>0</v>
      </c>
      <c r="Q45" s="1257">
        <f t="shared" si="28"/>
        <v>0</v>
      </c>
      <c r="R45" s="1257"/>
      <c r="S45" s="1259">
        <v>0</v>
      </c>
      <c r="T45" s="1259">
        <v>0</v>
      </c>
      <c r="U45" s="1299">
        <f t="shared" si="32"/>
        <v>0</v>
      </c>
      <c r="V45" s="1299"/>
      <c r="W45" s="1259">
        <v>0</v>
      </c>
      <c r="X45" s="1273">
        <v>0</v>
      </c>
      <c r="Y45" s="1297"/>
      <c r="Z45" s="1297"/>
      <c r="AA45" s="1259">
        <v>0</v>
      </c>
      <c r="AB45" s="1297"/>
      <c r="AC45" s="117"/>
      <c r="AD45" s="117"/>
      <c r="AE45" s="639">
        <f t="shared" si="30"/>
        <v>0</v>
      </c>
      <c r="AF45" s="619"/>
      <c r="AG45" s="619"/>
      <c r="AH45" s="776"/>
      <c r="AI45" s="874">
        <f t="shared" si="33"/>
        <v>0</v>
      </c>
      <c r="AJ45" s="874"/>
      <c r="AK45" s="874"/>
      <c r="AL45" s="942"/>
      <c r="AM45" s="872">
        <f t="shared" si="25"/>
        <v>0</v>
      </c>
      <c r="AN45" s="872"/>
      <c r="AO45" s="872"/>
      <c r="AP45" s="872"/>
      <c r="AQ45" s="872">
        <f t="shared" si="26"/>
        <v>0</v>
      </c>
      <c r="AR45" s="872"/>
      <c r="AS45" s="872"/>
      <c r="AT45" s="872"/>
    </row>
    <row r="46" spans="1:46" ht="30" customHeight="1" x14ac:dyDescent="0.2">
      <c r="A46" s="712" t="s">
        <v>252</v>
      </c>
      <c r="B46" s="724" t="s">
        <v>215</v>
      </c>
      <c r="C46" s="723" t="s">
        <v>57</v>
      </c>
      <c r="D46" s="713" t="s">
        <v>7</v>
      </c>
      <c r="E46" s="187">
        <f>F46+G46+H46</f>
        <v>69</v>
      </c>
      <c r="F46" s="187">
        <f t="shared" si="29"/>
        <v>0</v>
      </c>
      <c r="G46" s="187">
        <f t="shared" si="29"/>
        <v>0</v>
      </c>
      <c r="H46" s="187">
        <f t="shared" si="27"/>
        <v>69</v>
      </c>
      <c r="I46" s="1257">
        <f t="shared" si="22"/>
        <v>69</v>
      </c>
      <c r="J46" s="1298"/>
      <c r="K46" s="1298">
        <v>0</v>
      </c>
      <c r="L46" s="1298">
        <v>69</v>
      </c>
      <c r="M46" s="1257">
        <f t="shared" si="31"/>
        <v>0</v>
      </c>
      <c r="N46" s="1257"/>
      <c r="O46" s="1259">
        <v>0</v>
      </c>
      <c r="P46" s="1259">
        <v>0</v>
      </c>
      <c r="Q46" s="1257">
        <f t="shared" si="28"/>
        <v>0</v>
      </c>
      <c r="R46" s="1257"/>
      <c r="S46" s="1259">
        <v>0</v>
      </c>
      <c r="T46" s="1259">
        <v>0</v>
      </c>
      <c r="U46" s="1299">
        <f t="shared" si="32"/>
        <v>0</v>
      </c>
      <c r="V46" s="1299"/>
      <c r="W46" s="1259">
        <v>0</v>
      </c>
      <c r="X46" s="1273">
        <v>0</v>
      </c>
      <c r="Y46" s="1297"/>
      <c r="Z46" s="1297"/>
      <c r="AA46" s="1259">
        <v>0</v>
      </c>
      <c r="AB46" s="1297"/>
      <c r="AC46" s="117"/>
      <c r="AD46" s="117"/>
      <c r="AE46" s="639">
        <f t="shared" si="30"/>
        <v>0</v>
      </c>
      <c r="AF46" s="619"/>
      <c r="AG46" s="619"/>
      <c r="AH46" s="776"/>
      <c r="AI46" s="874">
        <f t="shared" si="33"/>
        <v>0</v>
      </c>
      <c r="AJ46" s="874"/>
      <c r="AK46" s="874"/>
      <c r="AL46" s="942"/>
      <c r="AM46" s="872">
        <f t="shared" si="25"/>
        <v>0</v>
      </c>
      <c r="AN46" s="872"/>
      <c r="AO46" s="872"/>
      <c r="AP46" s="872"/>
      <c r="AQ46" s="872">
        <f t="shared" si="26"/>
        <v>0</v>
      </c>
      <c r="AR46" s="872"/>
      <c r="AS46" s="872"/>
      <c r="AT46" s="872"/>
    </row>
    <row r="47" spans="1:46" ht="58.9" customHeight="1" x14ac:dyDescent="0.2">
      <c r="A47" s="725" t="s">
        <v>353</v>
      </c>
      <c r="B47" s="724" t="s">
        <v>354</v>
      </c>
      <c r="C47" s="726" t="s">
        <v>380</v>
      </c>
      <c r="D47" s="727"/>
      <c r="E47" s="187">
        <f>F47+G47+H47</f>
        <v>0</v>
      </c>
      <c r="F47" s="187">
        <f t="shared" si="29"/>
        <v>0</v>
      </c>
      <c r="G47" s="187">
        <f t="shared" si="29"/>
        <v>0</v>
      </c>
      <c r="H47" s="187">
        <f t="shared" si="27"/>
        <v>0</v>
      </c>
      <c r="I47" s="1257"/>
      <c r="J47" s="1298"/>
      <c r="K47" s="1298"/>
      <c r="L47" s="1298"/>
      <c r="M47" s="1257"/>
      <c r="N47" s="1298"/>
      <c r="O47" s="1300"/>
      <c r="P47" s="1300"/>
      <c r="Q47" s="1257">
        <f>R47+S47+T47</f>
        <v>0</v>
      </c>
      <c r="R47" s="1298"/>
      <c r="S47" s="1300"/>
      <c r="T47" s="1300">
        <v>0</v>
      </c>
      <c r="U47" s="1299">
        <f>V47+W47+X47</f>
        <v>0</v>
      </c>
      <c r="V47" s="1301"/>
      <c r="W47" s="1300"/>
      <c r="X47" s="1273"/>
      <c r="Y47" s="1297"/>
      <c r="Z47" s="1297"/>
      <c r="AA47" s="1300"/>
      <c r="AB47" s="1297"/>
      <c r="AC47" s="117"/>
      <c r="AD47" s="117"/>
      <c r="AE47" s="639">
        <f t="shared" si="30"/>
        <v>0</v>
      </c>
      <c r="AF47" s="619"/>
      <c r="AG47" s="619"/>
      <c r="AH47" s="776"/>
      <c r="AI47" s="874">
        <f t="shared" si="33"/>
        <v>0</v>
      </c>
      <c r="AJ47" s="874"/>
      <c r="AK47" s="874"/>
      <c r="AL47" s="942"/>
      <c r="AM47" s="872">
        <f t="shared" si="25"/>
        <v>0</v>
      </c>
      <c r="AN47" s="872"/>
      <c r="AO47" s="872"/>
      <c r="AP47" s="872"/>
      <c r="AQ47" s="872">
        <f t="shared" si="26"/>
        <v>0</v>
      </c>
      <c r="AR47" s="872"/>
      <c r="AS47" s="872"/>
      <c r="AT47" s="872"/>
    </row>
    <row r="48" spans="1:46" ht="22.5" customHeight="1" x14ac:dyDescent="0.2">
      <c r="A48" s="971" t="s">
        <v>53</v>
      </c>
      <c r="B48" s="972" t="s">
        <v>216</v>
      </c>
      <c r="C48" s="973"/>
      <c r="D48" s="973"/>
      <c r="E48" s="974">
        <f t="shared" si="21"/>
        <v>592.95799999999997</v>
      </c>
      <c r="F48" s="974">
        <f t="shared" si="29"/>
        <v>0</v>
      </c>
      <c r="G48" s="974">
        <f t="shared" si="29"/>
        <v>-0.03</v>
      </c>
      <c r="H48" s="974">
        <f t="shared" si="27"/>
        <v>592.98799999999994</v>
      </c>
      <c r="I48" s="1302">
        <f t="shared" si="22"/>
        <v>60</v>
      </c>
      <c r="J48" s="1303">
        <f>J49</f>
        <v>0</v>
      </c>
      <c r="K48" s="1303">
        <f>K49</f>
        <v>0</v>
      </c>
      <c r="L48" s="1303">
        <f>L49</f>
        <v>60</v>
      </c>
      <c r="M48" s="1302">
        <f t="shared" si="31"/>
        <v>60</v>
      </c>
      <c r="N48" s="1303">
        <f>N49</f>
        <v>0</v>
      </c>
      <c r="O48" s="1303">
        <f>O49</f>
        <v>0</v>
      </c>
      <c r="P48" s="1303">
        <f>P49</f>
        <v>60</v>
      </c>
      <c r="Q48" s="1302">
        <f t="shared" ref="Q48:Q59" si="34">R48+S48+T48</f>
        <v>230</v>
      </c>
      <c r="R48" s="1303">
        <f>R49</f>
        <v>0</v>
      </c>
      <c r="S48" s="1303">
        <f>S49</f>
        <v>0</v>
      </c>
      <c r="T48" s="1303">
        <f>T49+T50</f>
        <v>230</v>
      </c>
      <c r="U48" s="1304">
        <f t="shared" si="32"/>
        <v>222.958</v>
      </c>
      <c r="V48" s="1305">
        <f>V49</f>
        <v>0</v>
      </c>
      <c r="W48" s="1305">
        <f>W49</f>
        <v>0</v>
      </c>
      <c r="X48" s="1305">
        <f>X49+X50+X51</f>
        <v>222.958</v>
      </c>
      <c r="Y48" s="1306">
        <f>Z48+AA48+AB48</f>
        <v>0</v>
      </c>
      <c r="Z48" s="1307">
        <f>Z49+Z50</f>
        <v>0</v>
      </c>
      <c r="AA48" s="1307">
        <f>AA49+AA50</f>
        <v>0</v>
      </c>
      <c r="AB48" s="1307">
        <f>AB49+AB50</f>
        <v>0</v>
      </c>
      <c r="AC48" s="975"/>
      <c r="AD48" s="975"/>
      <c r="AE48" s="969">
        <f t="shared" si="30"/>
        <v>0</v>
      </c>
      <c r="AF48" s="970">
        <f>AF49+AF50</f>
        <v>0</v>
      </c>
      <c r="AG48" s="970">
        <f>AG49+AG50</f>
        <v>-0.03</v>
      </c>
      <c r="AH48" s="970">
        <f>AH49+AH50</f>
        <v>0.03</v>
      </c>
      <c r="AI48" s="979">
        <f t="shared" si="33"/>
        <v>20</v>
      </c>
      <c r="AJ48" s="979">
        <f>AJ49+AJ50</f>
        <v>0</v>
      </c>
      <c r="AK48" s="979">
        <f>AK49+AK50</f>
        <v>0</v>
      </c>
      <c r="AL48" s="1541">
        <f>AL49+AL50+AL51+AL52</f>
        <v>20</v>
      </c>
      <c r="AM48" s="979">
        <f t="shared" ref="AM48:AM56" si="35">AN48+AO48+AP48</f>
        <v>0</v>
      </c>
      <c r="AN48" s="979">
        <f>AN49+AN50+AN51</f>
        <v>0</v>
      </c>
      <c r="AO48" s="979">
        <f>AO49+AO50+AO51</f>
        <v>0</v>
      </c>
      <c r="AP48" s="979">
        <f>AP49+AP50+AP51</f>
        <v>0</v>
      </c>
      <c r="AQ48" s="979">
        <f t="shared" si="26"/>
        <v>0</v>
      </c>
      <c r="AR48" s="979">
        <f>AR49+AR50+AR51</f>
        <v>0</v>
      </c>
      <c r="AS48" s="979">
        <f>AS49+AS50+AS51</f>
        <v>0</v>
      </c>
      <c r="AT48" s="979">
        <f>AT49+AT50+AT51</f>
        <v>0</v>
      </c>
    </row>
    <row r="49" spans="1:46" ht="24" x14ac:dyDescent="0.2">
      <c r="A49" s="88" t="s">
        <v>54</v>
      </c>
      <c r="B49" s="74" t="s">
        <v>218</v>
      </c>
      <c r="C49" s="74" t="s">
        <v>43</v>
      </c>
      <c r="D49" s="91" t="s">
        <v>7</v>
      </c>
      <c r="E49" s="188">
        <f>I49+M49+Q49+U49+Y49+AE49+AI49+AM49+AQ49</f>
        <v>120</v>
      </c>
      <c r="F49" s="188">
        <f t="shared" si="29"/>
        <v>0</v>
      </c>
      <c r="G49" s="188">
        <f t="shared" si="29"/>
        <v>-0.03</v>
      </c>
      <c r="H49" s="188">
        <f t="shared" si="27"/>
        <v>120.03</v>
      </c>
      <c r="I49" s="1257">
        <f t="shared" si="22"/>
        <v>60</v>
      </c>
      <c r="J49" s="1298"/>
      <c r="K49" s="1298">
        <v>0</v>
      </c>
      <c r="L49" s="1298">
        <v>60</v>
      </c>
      <c r="M49" s="1257">
        <f t="shared" si="31"/>
        <v>60</v>
      </c>
      <c r="N49" s="1257"/>
      <c r="O49" s="1259">
        <v>0</v>
      </c>
      <c r="P49" s="1260">
        <v>60</v>
      </c>
      <c r="Q49" s="1267">
        <f t="shared" si="34"/>
        <v>0</v>
      </c>
      <c r="R49" s="1267"/>
      <c r="S49" s="1262">
        <v>0</v>
      </c>
      <c r="T49" s="1262">
        <v>0</v>
      </c>
      <c r="U49" s="1308">
        <f t="shared" si="32"/>
        <v>0</v>
      </c>
      <c r="V49" s="1308"/>
      <c r="W49" s="1265">
        <v>0</v>
      </c>
      <c r="X49" s="1273">
        <f>60-60</f>
        <v>0</v>
      </c>
      <c r="Y49" s="1261">
        <f>Z49+AA49+AB49</f>
        <v>0</v>
      </c>
      <c r="Z49" s="1297"/>
      <c r="AA49" s="1309">
        <v>0</v>
      </c>
      <c r="AB49" s="1283">
        <v>0</v>
      </c>
      <c r="AC49" s="165"/>
      <c r="AD49" s="165"/>
      <c r="AE49" s="880">
        <f t="shared" si="30"/>
        <v>0</v>
      </c>
      <c r="AF49" s="882"/>
      <c r="AG49" s="1464">
        <v>-0.03</v>
      </c>
      <c r="AH49" s="1463">
        <v>0.03</v>
      </c>
      <c r="AI49" s="886">
        <f t="shared" si="33"/>
        <v>0</v>
      </c>
      <c r="AJ49" s="879"/>
      <c r="AK49" s="879"/>
      <c r="AL49" s="943"/>
      <c r="AM49" s="876">
        <f t="shared" si="35"/>
        <v>0</v>
      </c>
      <c r="AN49" s="876"/>
      <c r="AO49" s="876"/>
      <c r="AP49" s="876"/>
      <c r="AQ49" s="876">
        <f t="shared" si="26"/>
        <v>0</v>
      </c>
      <c r="AR49" s="876"/>
      <c r="AS49" s="876"/>
      <c r="AT49" s="876"/>
    </row>
    <row r="50" spans="1:46" ht="54" customHeight="1" x14ac:dyDescent="0.2">
      <c r="A50" s="88" t="s">
        <v>55</v>
      </c>
      <c r="B50" s="102" t="s">
        <v>220</v>
      </c>
      <c r="C50" s="108" t="s">
        <v>43</v>
      </c>
      <c r="D50" s="731"/>
      <c r="E50" s="188">
        <f>I50+M50+Q50+U50+Y50+AE50+AI50+AM50+AQ50</f>
        <v>252.958</v>
      </c>
      <c r="F50" s="188">
        <f t="shared" si="29"/>
        <v>0</v>
      </c>
      <c r="G50" s="188">
        <f t="shared" si="29"/>
        <v>0</v>
      </c>
      <c r="H50" s="188">
        <f t="shared" si="27"/>
        <v>252.958</v>
      </c>
      <c r="I50" s="1257"/>
      <c r="J50" s="1298"/>
      <c r="K50" s="1298"/>
      <c r="L50" s="1298"/>
      <c r="M50" s="1257"/>
      <c r="N50" s="1298"/>
      <c r="O50" s="1300"/>
      <c r="P50" s="1310"/>
      <c r="Q50" s="1267">
        <f t="shared" si="34"/>
        <v>230</v>
      </c>
      <c r="R50" s="1268"/>
      <c r="S50" s="1263"/>
      <c r="T50" s="1263">
        <v>230</v>
      </c>
      <c r="U50" s="1308">
        <f t="shared" si="32"/>
        <v>22.957999999999998</v>
      </c>
      <c r="V50" s="1311"/>
      <c r="W50" s="1280"/>
      <c r="X50" s="1273">
        <v>22.957999999999998</v>
      </c>
      <c r="Y50" s="1261"/>
      <c r="Z50" s="1312"/>
      <c r="AA50" s="1273"/>
      <c r="AB50" s="1297"/>
      <c r="AC50" s="117"/>
      <c r="AD50" s="117"/>
      <c r="AE50" s="585"/>
      <c r="AF50" s="618"/>
      <c r="AG50" s="618"/>
      <c r="AH50" s="775"/>
      <c r="AI50" s="874">
        <f t="shared" si="33"/>
        <v>0</v>
      </c>
      <c r="AJ50" s="874"/>
      <c r="AK50" s="874"/>
      <c r="AL50" s="942"/>
      <c r="AM50" s="876">
        <f t="shared" si="35"/>
        <v>0</v>
      </c>
      <c r="AN50" s="876"/>
      <c r="AO50" s="876"/>
      <c r="AP50" s="876"/>
      <c r="AQ50" s="876">
        <f t="shared" si="26"/>
        <v>0</v>
      </c>
      <c r="AR50" s="876"/>
      <c r="AS50" s="876"/>
      <c r="AT50" s="876"/>
    </row>
    <row r="51" spans="1:46" ht="43.5" customHeight="1" x14ac:dyDescent="0.2">
      <c r="A51" s="88"/>
      <c r="B51" s="894" t="s">
        <v>633</v>
      </c>
      <c r="C51" s="108" t="s">
        <v>43</v>
      </c>
      <c r="D51" s="731"/>
      <c r="E51" s="188">
        <f>I51+M51+Q51+U51+Y51+AE51+AI51+AM51+AQ51</f>
        <v>200</v>
      </c>
      <c r="F51" s="188"/>
      <c r="G51" s="188"/>
      <c r="H51" s="188">
        <f t="shared" si="27"/>
        <v>200</v>
      </c>
      <c r="I51" s="1257"/>
      <c r="J51" s="1298"/>
      <c r="K51" s="1298"/>
      <c r="L51" s="1298"/>
      <c r="M51" s="1257"/>
      <c r="N51" s="1298"/>
      <c r="O51" s="1300"/>
      <c r="P51" s="1310"/>
      <c r="Q51" s="1267"/>
      <c r="R51" s="1268"/>
      <c r="S51" s="1263"/>
      <c r="T51" s="1263"/>
      <c r="U51" s="1308">
        <f t="shared" si="32"/>
        <v>200</v>
      </c>
      <c r="V51" s="1311"/>
      <c r="W51" s="1280"/>
      <c r="X51" s="1273">
        <v>200</v>
      </c>
      <c r="Y51" s="1261"/>
      <c r="Z51" s="1312"/>
      <c r="AA51" s="1273"/>
      <c r="AB51" s="1297"/>
      <c r="AC51" s="117"/>
      <c r="AD51" s="117"/>
      <c r="AE51" s="585"/>
      <c r="AF51" s="618"/>
      <c r="AG51" s="618"/>
      <c r="AH51" s="775"/>
      <c r="AI51" s="874">
        <f t="shared" si="33"/>
        <v>0</v>
      </c>
      <c r="AJ51" s="874"/>
      <c r="AK51" s="874"/>
      <c r="AL51" s="942"/>
      <c r="AM51" s="876">
        <f t="shared" si="35"/>
        <v>0</v>
      </c>
      <c r="AN51" s="876"/>
      <c r="AO51" s="876"/>
      <c r="AP51" s="876"/>
      <c r="AQ51" s="876">
        <f t="shared" si="26"/>
        <v>0</v>
      </c>
      <c r="AR51" s="876"/>
      <c r="AS51" s="876"/>
      <c r="AT51" s="876"/>
    </row>
    <row r="52" spans="1:46" ht="43.5" customHeight="1" x14ac:dyDescent="0.2">
      <c r="A52" s="1410" t="s">
        <v>736</v>
      </c>
      <c r="B52" s="1411" t="s">
        <v>738</v>
      </c>
      <c r="C52" s="108" t="s">
        <v>43</v>
      </c>
      <c r="D52" s="731"/>
      <c r="E52" s="188">
        <f>I52+M52+Q52+U52+Y52+AE52+AI52+AM52+AQ52</f>
        <v>20</v>
      </c>
      <c r="F52" s="188"/>
      <c r="G52" s="188"/>
      <c r="H52" s="188">
        <f t="shared" si="27"/>
        <v>20</v>
      </c>
      <c r="I52" s="1257"/>
      <c r="J52" s="1298"/>
      <c r="K52" s="1298"/>
      <c r="L52" s="1298"/>
      <c r="M52" s="1257"/>
      <c r="N52" s="1298"/>
      <c r="O52" s="1300"/>
      <c r="P52" s="1310"/>
      <c r="Q52" s="1267"/>
      <c r="R52" s="1268"/>
      <c r="S52" s="1263"/>
      <c r="T52" s="1263"/>
      <c r="U52" s="1308"/>
      <c r="V52" s="1311"/>
      <c r="W52" s="1280"/>
      <c r="X52" s="1273"/>
      <c r="Y52" s="1261"/>
      <c r="Z52" s="1312"/>
      <c r="AA52" s="1273"/>
      <c r="AB52" s="1297"/>
      <c r="AC52" s="117"/>
      <c r="AD52" s="117"/>
      <c r="AE52" s="585"/>
      <c r="AF52" s="618"/>
      <c r="AG52" s="618"/>
      <c r="AH52" s="775"/>
      <c r="AI52" s="874">
        <f t="shared" si="33"/>
        <v>20</v>
      </c>
      <c r="AJ52" s="874"/>
      <c r="AK52" s="874"/>
      <c r="AL52" s="942">
        <v>20</v>
      </c>
      <c r="AM52" s="876">
        <f t="shared" si="35"/>
        <v>0</v>
      </c>
      <c r="AN52" s="876"/>
      <c r="AO52" s="876"/>
      <c r="AP52" s="876"/>
      <c r="AQ52" s="876">
        <f t="shared" si="26"/>
        <v>0</v>
      </c>
      <c r="AR52" s="876"/>
      <c r="AS52" s="876"/>
      <c r="AT52" s="876"/>
    </row>
    <row r="53" spans="1:46" ht="27" customHeight="1" x14ac:dyDescent="0.2">
      <c r="A53" s="976" t="s">
        <v>56</v>
      </c>
      <c r="B53" s="1481" t="s">
        <v>217</v>
      </c>
      <c r="C53" s="973"/>
      <c r="D53" s="973"/>
      <c r="E53" s="977">
        <f t="shared" si="21"/>
        <v>150271.00260000001</v>
      </c>
      <c r="F53" s="977">
        <f>J53+N53+R53+V53+Z53+AF53+AJ53</f>
        <v>3797.5</v>
      </c>
      <c r="G53" s="977">
        <f>K53+O53+S53+W53+AA53+AG53+AK53</f>
        <v>7965.5529800000004</v>
      </c>
      <c r="H53" s="977">
        <f t="shared" si="27"/>
        <v>138507.94962</v>
      </c>
      <c r="I53" s="1313">
        <f t="shared" si="22"/>
        <v>797</v>
      </c>
      <c r="J53" s="1314">
        <f>J54+J55</f>
        <v>0</v>
      </c>
      <c r="K53" s="1314">
        <f>K54+K55</f>
        <v>0</v>
      </c>
      <c r="L53" s="1314">
        <f>L54+L55</f>
        <v>797</v>
      </c>
      <c r="M53" s="1313">
        <f t="shared" si="31"/>
        <v>0</v>
      </c>
      <c r="N53" s="1314">
        <f>N54+N55</f>
        <v>0</v>
      </c>
      <c r="O53" s="1314">
        <f>O54+O55</f>
        <v>0</v>
      </c>
      <c r="P53" s="1314">
        <f>P54+P55</f>
        <v>0</v>
      </c>
      <c r="Q53" s="1313">
        <f t="shared" si="34"/>
        <v>100</v>
      </c>
      <c r="R53" s="1314">
        <f>R54+R55</f>
        <v>0</v>
      </c>
      <c r="S53" s="1314">
        <f>S54+S55</f>
        <v>0</v>
      </c>
      <c r="T53" s="1314">
        <f>T54+T55</f>
        <v>100</v>
      </c>
      <c r="U53" s="1315">
        <f t="shared" si="32"/>
        <v>988.13</v>
      </c>
      <c r="V53" s="1316">
        <f>V54+V55</f>
        <v>0</v>
      </c>
      <c r="W53" s="1316">
        <f>W54+W55</f>
        <v>0</v>
      </c>
      <c r="X53" s="1316">
        <f>X54+X55+X63</f>
        <v>988.13</v>
      </c>
      <c r="Y53" s="1317">
        <f>Z53+AA53+AB53</f>
        <v>13858.707979999999</v>
      </c>
      <c r="Z53" s="1318">
        <f>Z54+Z55+Z63+Z64+Z67</f>
        <v>0</v>
      </c>
      <c r="AA53" s="1315">
        <f>AA54+AA55+AA63+AA64+AA67</f>
        <v>83.092979999999997</v>
      </c>
      <c r="AB53" s="1315">
        <f>AB54+AB55+AB63+AB64+AB67</f>
        <v>13775.615</v>
      </c>
      <c r="AC53" s="975"/>
      <c r="AD53" s="975"/>
      <c r="AE53" s="977">
        <f>AE54+AE55+AE63+AE64+AE67</f>
        <v>23817.749999999996</v>
      </c>
      <c r="AF53" s="977">
        <f>AF54+AF55+AF63+AF64+AF67</f>
        <v>0</v>
      </c>
      <c r="AG53" s="977">
        <f>AG54+AG55+AG63+AG64+AG67</f>
        <v>5138.8599999999997</v>
      </c>
      <c r="AH53" s="977">
        <f>AH54+AH55+AH63+AH64+AH67</f>
        <v>18678.889999999996</v>
      </c>
      <c r="AI53" s="978">
        <f>AJ53+AK53+AL53</f>
        <v>40054.308819999998</v>
      </c>
      <c r="AJ53" s="978">
        <f>AJ54+AJ55+AJ63+AJ64+AJ67+AJ68+AJ69+AJ72</f>
        <v>3797.5</v>
      </c>
      <c r="AK53" s="978">
        <f>AK54+AK55+AK63+AK64+AK67+AK68+AK69+AK72</f>
        <v>2743.6</v>
      </c>
      <c r="AL53" s="978">
        <f>AL54+AL55+AL62+AL63+AL64+AL67+AL68+AL69+AL72+AL73+AL70+AL71</f>
        <v>33513.20882</v>
      </c>
      <c r="AM53" s="958">
        <f t="shared" si="35"/>
        <v>35288.815799999997</v>
      </c>
      <c r="AN53" s="978">
        <f>AN54+AN55+AN63+AN64+AN67+AN68+AN69+AN72+AN73+AN70+AN71</f>
        <v>2315.6</v>
      </c>
      <c r="AO53" s="978">
        <f>AO54+AO55+AO63+AO64+AO67+AO68+AO69+AO72+AO73+AO70+AO71</f>
        <v>2743.6</v>
      </c>
      <c r="AP53" s="978">
        <f>AP54+AP55+AP63+AP64+AP67+AP68+AP69+AP72+AP73+AP70+AP71</f>
        <v>30229.6158</v>
      </c>
      <c r="AQ53" s="958">
        <f>AR53+AS53+AT53</f>
        <v>43169.090000000004</v>
      </c>
      <c r="AR53" s="978">
        <f>AR54+AR55+AR63+AR64+AR67+AR68+AR69+AR72+AR73+AR70+AR71</f>
        <v>0</v>
      </c>
      <c r="AS53" s="978">
        <f>AS54+AS55+AS63+AS64+AS67+AS68+AS69+AS72+AS73+AS70+AS71</f>
        <v>2743.6</v>
      </c>
      <c r="AT53" s="978">
        <f>AT54+AT55+AT63+AT64+AT67+AT68+AT69+AT72+AT73+AT70+AT71</f>
        <v>40425.490000000005</v>
      </c>
    </row>
    <row r="54" spans="1:46" ht="36.75" x14ac:dyDescent="0.25">
      <c r="A54" s="88" t="s">
        <v>251</v>
      </c>
      <c r="B54" s="102" t="s">
        <v>219</v>
      </c>
      <c r="C54" s="74" t="s">
        <v>659</v>
      </c>
      <c r="D54" s="91" t="s">
        <v>7</v>
      </c>
      <c r="E54" s="187">
        <f t="shared" si="21"/>
        <v>662</v>
      </c>
      <c r="F54" s="188">
        <f t="shared" ref="F54:G64" si="36">J54+N54+R54+V54+Z54+AF54+AJ54+AN54+AR54</f>
        <v>0</v>
      </c>
      <c r="G54" s="188">
        <f t="shared" si="36"/>
        <v>0</v>
      </c>
      <c r="H54" s="188">
        <f t="shared" si="27"/>
        <v>662</v>
      </c>
      <c r="I54" s="1257">
        <f t="shared" si="22"/>
        <v>662</v>
      </c>
      <c r="J54" s="1298"/>
      <c r="K54" s="1298">
        <v>0</v>
      </c>
      <c r="L54" s="1298">
        <v>662</v>
      </c>
      <c r="M54" s="1257">
        <f t="shared" si="31"/>
        <v>0</v>
      </c>
      <c r="N54" s="1257"/>
      <c r="O54" s="1259">
        <v>0</v>
      </c>
      <c r="P54" s="1260">
        <v>0</v>
      </c>
      <c r="Q54" s="1267">
        <f t="shared" si="34"/>
        <v>0</v>
      </c>
      <c r="R54" s="1267"/>
      <c r="S54" s="1262">
        <v>0</v>
      </c>
      <c r="T54" s="1262">
        <v>0</v>
      </c>
      <c r="U54" s="1308">
        <f t="shared" si="32"/>
        <v>0</v>
      </c>
      <c r="V54" s="1308"/>
      <c r="W54" s="1265">
        <v>0</v>
      </c>
      <c r="X54" s="1273">
        <v>0</v>
      </c>
      <c r="Y54" s="1261">
        <f>Z54+AA54+AB54</f>
        <v>0</v>
      </c>
      <c r="Z54" s="1297"/>
      <c r="AA54" s="1309">
        <v>0</v>
      </c>
      <c r="AB54" s="1297"/>
      <c r="AC54" s="117"/>
      <c r="AD54" s="117"/>
      <c r="AE54" s="639">
        <f>AF54+AG54+AH54</f>
        <v>0</v>
      </c>
      <c r="AF54" s="618"/>
      <c r="AG54" s="618"/>
      <c r="AH54" s="775"/>
      <c r="AI54" s="1482">
        <f t="shared" si="33"/>
        <v>0</v>
      </c>
      <c r="AJ54" s="1482"/>
      <c r="AK54" s="1483"/>
      <c r="AL54" s="1484"/>
      <c r="AM54" s="1485">
        <f t="shared" si="35"/>
        <v>0</v>
      </c>
      <c r="AN54" s="1485"/>
      <c r="AO54" s="1485"/>
      <c r="AP54" s="1485"/>
      <c r="AQ54" s="1485">
        <f t="shared" si="26"/>
        <v>0</v>
      </c>
      <c r="AR54" s="1485"/>
      <c r="AS54" s="1485"/>
      <c r="AT54" s="1485"/>
    </row>
    <row r="55" spans="1:46" ht="60.75" x14ac:dyDescent="0.25">
      <c r="A55" s="712" t="s">
        <v>188</v>
      </c>
      <c r="B55" s="102" t="s">
        <v>778</v>
      </c>
      <c r="C55" s="102" t="s">
        <v>380</v>
      </c>
      <c r="D55" s="713" t="s">
        <v>7</v>
      </c>
      <c r="E55" s="187">
        <f t="shared" si="21"/>
        <v>3094.7650000000003</v>
      </c>
      <c r="F55" s="188">
        <f t="shared" si="36"/>
        <v>0</v>
      </c>
      <c r="G55" s="188">
        <f t="shared" si="36"/>
        <v>0</v>
      </c>
      <c r="H55" s="188">
        <f>L55+P55+T55+X55+AB55+AH55+AL55+AP55+AT55</f>
        <v>3094.7650000000003</v>
      </c>
      <c r="I55" s="1257">
        <f t="shared" si="22"/>
        <v>135</v>
      </c>
      <c r="J55" s="1257"/>
      <c r="K55" s="1257">
        <f>K56+K58</f>
        <v>0</v>
      </c>
      <c r="L55" s="1257">
        <f>L56+L58</f>
        <v>135</v>
      </c>
      <c r="M55" s="1257">
        <f t="shared" si="31"/>
        <v>0</v>
      </c>
      <c r="N55" s="1257">
        <f>N56+N58</f>
        <v>0</v>
      </c>
      <c r="O55" s="1257">
        <f>O56+O58</f>
        <v>0</v>
      </c>
      <c r="P55" s="1257">
        <f>P56+P58</f>
        <v>0</v>
      </c>
      <c r="Q55" s="1257">
        <f>R55+S55+T55</f>
        <v>100</v>
      </c>
      <c r="R55" s="1257">
        <f>R56+R58</f>
        <v>0</v>
      </c>
      <c r="S55" s="1257">
        <f>S56+S58</f>
        <v>0</v>
      </c>
      <c r="T55" s="1257">
        <f>T56+T57+T59</f>
        <v>100</v>
      </c>
      <c r="U55" s="1299">
        <f t="shared" si="32"/>
        <v>640</v>
      </c>
      <c r="V55" s="1299">
        <f>V56+V57+V59</f>
        <v>0</v>
      </c>
      <c r="W55" s="1299">
        <f>W56+W57+W59</f>
        <v>0</v>
      </c>
      <c r="X55" s="1299">
        <f>X56+X57+X59</f>
        <v>640</v>
      </c>
      <c r="Y55" s="1261">
        <f>Z55+AA55+AB55</f>
        <v>66.115000000000009</v>
      </c>
      <c r="Z55" s="1297"/>
      <c r="AA55" s="1299">
        <f>AA56+AA58</f>
        <v>0</v>
      </c>
      <c r="AB55" s="1261">
        <f>AB56+AB57+AB58+AB59+AB60</f>
        <v>66.115000000000009</v>
      </c>
      <c r="AC55" s="117"/>
      <c r="AD55" s="117"/>
      <c r="AE55" s="639">
        <f>AF55+AG55+AH55</f>
        <v>2055.35</v>
      </c>
      <c r="AF55" s="187">
        <f>AF56+AF59</f>
        <v>0</v>
      </c>
      <c r="AG55" s="187">
        <f>AG56+AG59</f>
        <v>0</v>
      </c>
      <c r="AH55" s="193">
        <f>AH56+AH59</f>
        <v>2055.35</v>
      </c>
      <c r="AI55" s="1482">
        <f t="shared" si="33"/>
        <v>98.3</v>
      </c>
      <c r="AJ55" s="1484">
        <f>AJ56+AJ57+AJ58+AJ59+AJ60</f>
        <v>0</v>
      </c>
      <c r="AK55" s="1484">
        <f>AK56+AK57+AK58+AK59+AK60</f>
        <v>0</v>
      </c>
      <c r="AL55" s="1484">
        <f>AL56+AL57+AL58+AL59+AL60+AL61</f>
        <v>98.3</v>
      </c>
      <c r="AM55" s="1485">
        <f t="shared" si="35"/>
        <v>0</v>
      </c>
      <c r="AN55" s="1483">
        <f>AN56+AN57+AN58+AN59+AN60</f>
        <v>0</v>
      </c>
      <c r="AO55" s="1483">
        <f>AO56+AO57+AO58+AO59+AO60</f>
        <v>0</v>
      </c>
      <c r="AP55" s="1483">
        <f>AP56+AP57+AP58+AP59+AP60</f>
        <v>0</v>
      </c>
      <c r="AQ55" s="1485">
        <f t="shared" si="26"/>
        <v>0</v>
      </c>
      <c r="AR55" s="1483">
        <f>AR56+AR57+AR58+AR59+AR60</f>
        <v>0</v>
      </c>
      <c r="AS55" s="1483">
        <f>AS56+AS57+AS58+AS59+AS60</f>
        <v>0</v>
      </c>
      <c r="AT55" s="1483">
        <f>AT56+AT57+AT58+AT59+AT60</f>
        <v>0</v>
      </c>
    </row>
    <row r="56" spans="1:46" ht="60" customHeight="1" x14ac:dyDescent="0.25">
      <c r="A56" s="712"/>
      <c r="B56" s="714" t="s">
        <v>10</v>
      </c>
      <c r="C56" s="715" t="s">
        <v>659</v>
      </c>
      <c r="D56" s="102"/>
      <c r="E56" s="187">
        <f t="shared" si="21"/>
        <v>2155.35</v>
      </c>
      <c r="F56" s="188">
        <f t="shared" si="36"/>
        <v>0</v>
      </c>
      <c r="G56" s="188">
        <f t="shared" si="36"/>
        <v>0</v>
      </c>
      <c r="H56" s="188">
        <f t="shared" ref="H56:H63" si="37">L56+P56+T56+X56+AB56+AH56+AL56+AP56+AT56</f>
        <v>2155.35</v>
      </c>
      <c r="I56" s="1257">
        <f>J56+K56+L56</f>
        <v>100</v>
      </c>
      <c r="J56" s="1298"/>
      <c r="K56" s="1298"/>
      <c r="L56" s="1300">
        <v>100</v>
      </c>
      <c r="M56" s="1277"/>
      <c r="N56" s="1277"/>
      <c r="O56" s="1277"/>
      <c r="P56" s="1277"/>
      <c r="Q56" s="1257">
        <f t="shared" si="34"/>
        <v>0</v>
      </c>
      <c r="R56" s="1259"/>
      <c r="S56" s="1259"/>
      <c r="T56" s="1259">
        <v>0</v>
      </c>
      <c r="U56" s="1299">
        <f>V56+W56+X56</f>
        <v>0</v>
      </c>
      <c r="V56" s="1272"/>
      <c r="W56" s="1272"/>
      <c r="X56" s="1273">
        <v>0</v>
      </c>
      <c r="Y56" s="1261">
        <f t="shared" ref="Y56:Y67" si="38">Z56+AA56+AB56</f>
        <v>0</v>
      </c>
      <c r="Z56" s="1297"/>
      <c r="AA56" s="1272"/>
      <c r="AB56" s="1297"/>
      <c r="AC56" s="117"/>
      <c r="AD56" s="117"/>
      <c r="AE56" s="639">
        <f t="shared" ref="AE56:AE67" si="39">AF56+AG56+AH56</f>
        <v>2055.35</v>
      </c>
      <c r="AF56" s="619"/>
      <c r="AG56" s="619"/>
      <c r="AH56" s="1022">
        <v>2055.35</v>
      </c>
      <c r="AI56" s="1482">
        <f t="shared" si="33"/>
        <v>0</v>
      </c>
      <c r="AJ56" s="1482"/>
      <c r="AK56" s="1483"/>
      <c r="AL56" s="1484"/>
      <c r="AM56" s="1485">
        <f t="shared" si="35"/>
        <v>0</v>
      </c>
      <c r="AN56" s="1485"/>
      <c r="AO56" s="1485"/>
      <c r="AP56" s="1485"/>
      <c r="AQ56" s="1485">
        <f t="shared" si="26"/>
        <v>0</v>
      </c>
      <c r="AR56" s="1485"/>
      <c r="AS56" s="1485"/>
      <c r="AT56" s="1485"/>
    </row>
    <row r="57" spans="1:46" s="77" customFormat="1" ht="33" customHeight="1" x14ac:dyDescent="0.25">
      <c r="A57" s="712"/>
      <c r="B57" s="747" t="s">
        <v>560</v>
      </c>
      <c r="C57" s="715" t="s">
        <v>659</v>
      </c>
      <c r="D57" s="102"/>
      <c r="E57" s="187">
        <f t="shared" si="21"/>
        <v>250</v>
      </c>
      <c r="F57" s="188">
        <f t="shared" si="36"/>
        <v>0</v>
      </c>
      <c r="G57" s="188">
        <f t="shared" si="36"/>
        <v>0</v>
      </c>
      <c r="H57" s="188">
        <f t="shared" si="37"/>
        <v>250</v>
      </c>
      <c r="I57" s="1257"/>
      <c r="J57" s="1298"/>
      <c r="K57" s="1298"/>
      <c r="L57" s="1300"/>
      <c r="M57" s="1259"/>
      <c r="N57" s="1259"/>
      <c r="O57" s="1259"/>
      <c r="P57" s="1259"/>
      <c r="Q57" s="1257"/>
      <c r="R57" s="1259"/>
      <c r="S57" s="1259"/>
      <c r="T57" s="1259"/>
      <c r="U57" s="1299">
        <f>V57+W57+X57</f>
        <v>250</v>
      </c>
      <c r="V57" s="1272"/>
      <c r="W57" s="1272"/>
      <c r="X57" s="1273">
        <v>250</v>
      </c>
      <c r="Y57" s="1259"/>
      <c r="Z57" s="1272"/>
      <c r="AA57" s="1272"/>
      <c r="AB57" s="1272"/>
      <c r="AC57" s="159"/>
      <c r="AD57" s="159"/>
      <c r="AE57" s="661"/>
      <c r="AF57" s="198"/>
      <c r="AG57" s="198"/>
      <c r="AH57" s="778"/>
      <c r="AI57" s="1482">
        <f t="shared" si="33"/>
        <v>0</v>
      </c>
      <c r="AJ57" s="1482"/>
      <c r="AK57" s="1483"/>
      <c r="AL57" s="1484"/>
      <c r="AM57" s="1485">
        <f t="shared" ref="AM57:AM74" si="40">AN57+AO57+AP57</f>
        <v>0</v>
      </c>
      <c r="AN57" s="1485"/>
      <c r="AO57" s="1485"/>
      <c r="AP57" s="1485"/>
      <c r="AQ57" s="1485">
        <f t="shared" si="26"/>
        <v>0</v>
      </c>
      <c r="AR57" s="1485"/>
      <c r="AS57" s="1485"/>
      <c r="AT57" s="1485"/>
    </row>
    <row r="58" spans="1:46" ht="49.5" customHeight="1" x14ac:dyDescent="0.25">
      <c r="A58" s="712"/>
      <c r="B58" s="722" t="s">
        <v>198</v>
      </c>
      <c r="C58" s="715" t="s">
        <v>660</v>
      </c>
      <c r="D58" s="102"/>
      <c r="E58" s="187">
        <f t="shared" si="21"/>
        <v>35</v>
      </c>
      <c r="F58" s="188">
        <f t="shared" si="36"/>
        <v>0</v>
      </c>
      <c r="G58" s="188">
        <f t="shared" si="36"/>
        <v>0</v>
      </c>
      <c r="H58" s="188">
        <f t="shared" si="37"/>
        <v>35</v>
      </c>
      <c r="I58" s="1257">
        <f>J58+K58+L58</f>
        <v>35</v>
      </c>
      <c r="J58" s="1298"/>
      <c r="K58" s="1298"/>
      <c r="L58" s="1300">
        <v>35</v>
      </c>
      <c r="M58" s="1277"/>
      <c r="N58" s="1277"/>
      <c r="O58" s="1277"/>
      <c r="P58" s="1277"/>
      <c r="Q58" s="1257">
        <f t="shared" si="34"/>
        <v>0</v>
      </c>
      <c r="R58" s="1259"/>
      <c r="S58" s="1259"/>
      <c r="T58" s="1259"/>
      <c r="U58" s="1299">
        <f t="shared" si="32"/>
        <v>0</v>
      </c>
      <c r="V58" s="1272"/>
      <c r="W58" s="1272"/>
      <c r="X58" s="1273"/>
      <c r="Y58" s="1261">
        <f t="shared" si="38"/>
        <v>0</v>
      </c>
      <c r="Z58" s="1276"/>
      <c r="AA58" s="1272"/>
      <c r="AB58" s="1276"/>
      <c r="AC58" s="117"/>
      <c r="AD58" s="117"/>
      <c r="AE58" s="639">
        <f t="shared" si="39"/>
        <v>0</v>
      </c>
      <c r="AF58" s="619"/>
      <c r="AG58" s="619"/>
      <c r="AH58" s="776"/>
      <c r="AI58" s="1482">
        <f t="shared" si="33"/>
        <v>0</v>
      </c>
      <c r="AJ58" s="1482"/>
      <c r="AK58" s="1483"/>
      <c r="AL58" s="1484"/>
      <c r="AM58" s="1485">
        <f t="shared" si="40"/>
        <v>0</v>
      </c>
      <c r="AN58" s="1485"/>
      <c r="AO58" s="1485"/>
      <c r="AP58" s="1485"/>
      <c r="AQ58" s="1485">
        <f t="shared" si="26"/>
        <v>0</v>
      </c>
      <c r="AR58" s="1485"/>
      <c r="AS58" s="1485"/>
      <c r="AT58" s="1485"/>
    </row>
    <row r="59" spans="1:46" ht="48" customHeight="1" x14ac:dyDescent="0.2">
      <c r="A59" s="712"/>
      <c r="B59" s="748" t="s">
        <v>633</v>
      </c>
      <c r="C59" s="717" t="s">
        <v>461</v>
      </c>
      <c r="D59" s="102"/>
      <c r="E59" s="187">
        <f t="shared" si="21"/>
        <v>490</v>
      </c>
      <c r="F59" s="188">
        <f t="shared" si="36"/>
        <v>0</v>
      </c>
      <c r="G59" s="188">
        <f t="shared" si="36"/>
        <v>0</v>
      </c>
      <c r="H59" s="188">
        <f t="shared" si="37"/>
        <v>490</v>
      </c>
      <c r="I59" s="1257"/>
      <c r="J59" s="1298"/>
      <c r="K59" s="1298"/>
      <c r="L59" s="1300"/>
      <c r="M59" s="1277"/>
      <c r="N59" s="1277"/>
      <c r="O59" s="1277"/>
      <c r="P59" s="1277"/>
      <c r="Q59" s="1257">
        <f t="shared" si="34"/>
        <v>100</v>
      </c>
      <c r="R59" s="1259"/>
      <c r="S59" s="1259"/>
      <c r="T59" s="1259">
        <v>100</v>
      </c>
      <c r="U59" s="1299">
        <f t="shared" si="32"/>
        <v>390</v>
      </c>
      <c r="V59" s="1272"/>
      <c r="W59" s="1272"/>
      <c r="X59" s="1273">
        <v>390</v>
      </c>
      <c r="Y59" s="1261">
        <f t="shared" si="38"/>
        <v>0</v>
      </c>
      <c r="Z59" s="1276"/>
      <c r="AA59" s="1272"/>
      <c r="AB59" s="1276"/>
      <c r="AC59" s="117"/>
      <c r="AD59" s="117"/>
      <c r="AE59" s="639">
        <f t="shared" si="39"/>
        <v>0</v>
      </c>
      <c r="AF59" s="619"/>
      <c r="AG59" s="619"/>
      <c r="AH59" s="776"/>
      <c r="AI59" s="879">
        <f t="shared" si="33"/>
        <v>0</v>
      </c>
      <c r="AJ59" s="879"/>
      <c r="AK59" s="874"/>
      <c r="AL59" s="944"/>
      <c r="AM59" s="872">
        <f t="shared" si="40"/>
        <v>0</v>
      </c>
      <c r="AN59" s="872"/>
      <c r="AO59" s="872"/>
      <c r="AP59" s="872"/>
      <c r="AQ59" s="872">
        <f t="shared" si="26"/>
        <v>0</v>
      </c>
      <c r="AR59" s="872"/>
      <c r="AS59" s="872"/>
      <c r="AT59" s="872"/>
    </row>
    <row r="60" spans="1:46" ht="26.25" customHeight="1" x14ac:dyDescent="0.2">
      <c r="A60" s="712"/>
      <c r="B60" s="748" t="s">
        <v>656</v>
      </c>
      <c r="C60" s="717" t="s">
        <v>446</v>
      </c>
      <c r="D60" s="102"/>
      <c r="E60" s="187">
        <f t="shared" si="21"/>
        <v>66.115000000000009</v>
      </c>
      <c r="F60" s="188">
        <f t="shared" si="36"/>
        <v>0</v>
      </c>
      <c r="G60" s="188">
        <f t="shared" si="36"/>
        <v>0</v>
      </c>
      <c r="H60" s="188">
        <f t="shared" si="37"/>
        <v>66.115000000000009</v>
      </c>
      <c r="I60" s="1257"/>
      <c r="J60" s="1298"/>
      <c r="K60" s="1298"/>
      <c r="L60" s="1300"/>
      <c r="M60" s="1277"/>
      <c r="N60" s="1277"/>
      <c r="O60" s="1277"/>
      <c r="P60" s="1277"/>
      <c r="Q60" s="1257"/>
      <c r="R60" s="1259"/>
      <c r="S60" s="1259"/>
      <c r="T60" s="1259"/>
      <c r="U60" s="1299"/>
      <c r="V60" s="1272"/>
      <c r="W60" s="1272"/>
      <c r="X60" s="1273"/>
      <c r="Y60" s="1261">
        <f t="shared" si="38"/>
        <v>66.115000000000009</v>
      </c>
      <c r="Z60" s="1276"/>
      <c r="AA60" s="1272"/>
      <c r="AB60" s="1261">
        <f>66.2-0.085</f>
        <v>66.115000000000009</v>
      </c>
      <c r="AC60" s="117"/>
      <c r="AD60" s="117"/>
      <c r="AE60" s="639"/>
      <c r="AF60" s="619"/>
      <c r="AG60" s="619"/>
      <c r="AH60" s="776"/>
      <c r="AI60" s="879">
        <f t="shared" si="33"/>
        <v>0</v>
      </c>
      <c r="AJ60" s="879"/>
      <c r="AK60" s="874"/>
      <c r="AL60" s="944"/>
      <c r="AM60" s="872">
        <f t="shared" si="40"/>
        <v>0</v>
      </c>
      <c r="AN60" s="872"/>
      <c r="AO60" s="872"/>
      <c r="AP60" s="872"/>
      <c r="AQ60" s="872">
        <f t="shared" si="26"/>
        <v>0</v>
      </c>
      <c r="AR60" s="872"/>
      <c r="AS60" s="872"/>
      <c r="AT60" s="872"/>
    </row>
    <row r="61" spans="1:46" ht="34.5" customHeight="1" x14ac:dyDescent="0.2">
      <c r="A61" s="93"/>
      <c r="B61" s="1561" t="s">
        <v>777</v>
      </c>
      <c r="C61" s="1562" t="s">
        <v>454</v>
      </c>
      <c r="D61" s="102"/>
      <c r="E61" s="187">
        <f t="shared" si="21"/>
        <v>98.3</v>
      </c>
      <c r="F61" s="188"/>
      <c r="G61" s="188"/>
      <c r="H61" s="188">
        <f t="shared" si="37"/>
        <v>98.3</v>
      </c>
      <c r="I61" s="1257"/>
      <c r="J61" s="1298"/>
      <c r="K61" s="1298"/>
      <c r="L61" s="1300"/>
      <c r="M61" s="1277"/>
      <c r="N61" s="1277"/>
      <c r="O61" s="1277"/>
      <c r="P61" s="1277"/>
      <c r="Q61" s="1257"/>
      <c r="R61" s="1259"/>
      <c r="S61" s="1259"/>
      <c r="T61" s="1259"/>
      <c r="U61" s="1299"/>
      <c r="V61" s="1272"/>
      <c r="W61" s="1272"/>
      <c r="X61" s="1273"/>
      <c r="Y61" s="1261"/>
      <c r="Z61" s="1276"/>
      <c r="AA61" s="1272"/>
      <c r="AB61" s="1261"/>
      <c r="AC61" s="117"/>
      <c r="AD61" s="117"/>
      <c r="AE61" s="639"/>
      <c r="AF61" s="619"/>
      <c r="AG61" s="619"/>
      <c r="AH61" s="776"/>
      <c r="AI61" s="879">
        <f t="shared" si="33"/>
        <v>98.3</v>
      </c>
      <c r="AJ61" s="879"/>
      <c r="AK61" s="874"/>
      <c r="AL61" s="942">
        <v>98.3</v>
      </c>
      <c r="AM61" s="872"/>
      <c r="AN61" s="872"/>
      <c r="AO61" s="872"/>
      <c r="AP61" s="872"/>
      <c r="AQ61" s="872"/>
      <c r="AR61" s="872"/>
      <c r="AS61" s="872"/>
      <c r="AT61" s="872"/>
    </row>
    <row r="62" spans="1:46" ht="37.5" customHeight="1" x14ac:dyDescent="0.2">
      <c r="A62" s="1558"/>
      <c r="B62" s="1559" t="s">
        <v>802</v>
      </c>
      <c r="C62" s="1560" t="s">
        <v>581</v>
      </c>
      <c r="D62" s="102"/>
      <c r="E62" s="187"/>
      <c r="F62" s="188"/>
      <c r="G62" s="188"/>
      <c r="H62" s="188"/>
      <c r="I62" s="1257"/>
      <c r="J62" s="1298"/>
      <c r="K62" s="1298"/>
      <c r="L62" s="1300"/>
      <c r="M62" s="1277"/>
      <c r="N62" s="1277"/>
      <c r="O62" s="1277"/>
      <c r="P62" s="1277"/>
      <c r="Q62" s="1257"/>
      <c r="R62" s="1259"/>
      <c r="S62" s="1259"/>
      <c r="T62" s="1259"/>
      <c r="U62" s="1299"/>
      <c r="V62" s="1272"/>
      <c r="W62" s="1272"/>
      <c r="X62" s="1273"/>
      <c r="Y62" s="1261"/>
      <c r="Z62" s="1276"/>
      <c r="AA62" s="1272"/>
      <c r="AB62" s="1261"/>
      <c r="AC62" s="117"/>
      <c r="AD62" s="117"/>
      <c r="AE62" s="639"/>
      <c r="AF62" s="619"/>
      <c r="AG62" s="619"/>
      <c r="AH62" s="776"/>
      <c r="AI62" s="879">
        <f t="shared" si="33"/>
        <v>3050</v>
      </c>
      <c r="AJ62" s="879"/>
      <c r="AK62" s="874"/>
      <c r="AL62" s="942">
        <v>3050</v>
      </c>
      <c r="AM62" s="872"/>
      <c r="AN62" s="872"/>
      <c r="AO62" s="872"/>
      <c r="AP62" s="872"/>
      <c r="AQ62" s="872"/>
      <c r="AR62" s="872"/>
      <c r="AS62" s="872"/>
      <c r="AT62" s="872"/>
    </row>
    <row r="63" spans="1:46" ht="42.75" customHeight="1" x14ac:dyDescent="0.2">
      <c r="A63" s="712" t="s">
        <v>594</v>
      </c>
      <c r="B63" s="894" t="s">
        <v>595</v>
      </c>
      <c r="C63" s="715" t="s">
        <v>659</v>
      </c>
      <c r="D63" s="102"/>
      <c r="E63" s="187">
        <f t="shared" si="21"/>
        <v>348.13</v>
      </c>
      <c r="F63" s="188">
        <f t="shared" si="36"/>
        <v>0</v>
      </c>
      <c r="G63" s="188">
        <f t="shared" si="36"/>
        <v>0</v>
      </c>
      <c r="H63" s="188">
        <f t="shared" si="37"/>
        <v>348.13</v>
      </c>
      <c r="I63" s="1257"/>
      <c r="J63" s="1298"/>
      <c r="K63" s="1298"/>
      <c r="L63" s="1300"/>
      <c r="M63" s="1277"/>
      <c r="N63" s="1277"/>
      <c r="O63" s="1277"/>
      <c r="P63" s="1277"/>
      <c r="Q63" s="1257"/>
      <c r="R63" s="1259"/>
      <c r="S63" s="1259"/>
      <c r="T63" s="1259"/>
      <c r="U63" s="1299">
        <f t="shared" si="32"/>
        <v>348.13</v>
      </c>
      <c r="V63" s="1272"/>
      <c r="W63" s="1272"/>
      <c r="X63" s="1273">
        <v>348.13</v>
      </c>
      <c r="Y63" s="1261">
        <f t="shared" si="38"/>
        <v>0</v>
      </c>
      <c r="Z63" s="1276"/>
      <c r="AA63" s="1272"/>
      <c r="AB63" s="1276"/>
      <c r="AC63" s="117"/>
      <c r="AD63" s="117"/>
      <c r="AE63" s="639">
        <f t="shared" si="39"/>
        <v>0</v>
      </c>
      <c r="AF63" s="619"/>
      <c r="AG63" s="619"/>
      <c r="AH63" s="776"/>
      <c r="AI63" s="879">
        <f t="shared" si="33"/>
        <v>0</v>
      </c>
      <c r="AJ63" s="879"/>
      <c r="AK63" s="874"/>
      <c r="AL63" s="944"/>
      <c r="AM63" s="872">
        <f t="shared" si="40"/>
        <v>0</v>
      </c>
      <c r="AN63" s="872"/>
      <c r="AO63" s="872"/>
      <c r="AP63" s="872"/>
      <c r="AQ63" s="872">
        <f t="shared" si="26"/>
        <v>0</v>
      </c>
      <c r="AR63" s="872"/>
      <c r="AS63" s="872"/>
      <c r="AT63" s="872"/>
    </row>
    <row r="64" spans="1:46" ht="34.5" customHeight="1" x14ac:dyDescent="0.2">
      <c r="A64" s="1074" t="s">
        <v>620</v>
      </c>
      <c r="B64" s="1075" t="s">
        <v>715</v>
      </c>
      <c r="C64" s="1076" t="s">
        <v>446</v>
      </c>
      <c r="D64" s="1077"/>
      <c r="E64" s="1078">
        <f t="shared" ref="E64:E76" si="41">F64+G64+H64</f>
        <v>114662.04500000001</v>
      </c>
      <c r="F64" s="1078">
        <f t="shared" si="36"/>
        <v>0</v>
      </c>
      <c r="G64" s="1078">
        <f t="shared" si="36"/>
        <v>13369.66</v>
      </c>
      <c r="H64" s="1078">
        <f t="shared" ref="H64:H74" si="42">L64+P64+T64+X64+AB64+AH64+AL64+AP64+AT64</f>
        <v>101292.38500000001</v>
      </c>
      <c r="I64" s="1319"/>
      <c r="J64" s="1320"/>
      <c r="K64" s="1320"/>
      <c r="L64" s="1321"/>
      <c r="M64" s="1322"/>
      <c r="N64" s="1322"/>
      <c r="O64" s="1322"/>
      <c r="P64" s="1322"/>
      <c r="Q64" s="1319"/>
      <c r="R64" s="1323"/>
      <c r="S64" s="1323"/>
      <c r="T64" s="1323"/>
      <c r="U64" s="1324">
        <f>V64+W64+X64</f>
        <v>11295.255000000001</v>
      </c>
      <c r="V64" s="1325"/>
      <c r="W64" s="1325"/>
      <c r="X64" s="1326">
        <f>12130.2-588.5-246.445</f>
        <v>11295.255000000001</v>
      </c>
      <c r="Y64" s="1327">
        <f t="shared" si="38"/>
        <v>13705.1</v>
      </c>
      <c r="Z64" s="1328"/>
      <c r="AA64" s="1325"/>
      <c r="AB64" s="1327">
        <f>13739.1-34</f>
        <v>13705.1</v>
      </c>
      <c r="AC64" s="1079"/>
      <c r="AD64" s="1079"/>
      <c r="AE64" s="1085">
        <f t="shared" si="39"/>
        <v>21762.399999999998</v>
      </c>
      <c r="AF64" s="1086"/>
      <c r="AG64" s="1085">
        <f>1890.3+1693.9+904.8+649.86</f>
        <v>5138.8599999999997</v>
      </c>
      <c r="AH64" s="1087">
        <f>9616.8+6975.5+229.5+497-45.4-649.86</f>
        <v>16623.539999999997</v>
      </c>
      <c r="AI64" s="1085">
        <f t="shared" si="33"/>
        <v>23108.5</v>
      </c>
      <c r="AJ64" s="1085"/>
      <c r="AK64" s="1085">
        <v>2743.6</v>
      </c>
      <c r="AL64" s="1087">
        <v>20364.900000000001</v>
      </c>
      <c r="AM64" s="1080">
        <f t="shared" si="40"/>
        <v>22311.539999999997</v>
      </c>
      <c r="AN64" s="1080"/>
      <c r="AO64" s="1080">
        <v>2743.6</v>
      </c>
      <c r="AP64" s="1080">
        <f>20526.94-959</f>
        <v>19567.939999999999</v>
      </c>
      <c r="AQ64" s="1080">
        <f t="shared" si="26"/>
        <v>22479.25</v>
      </c>
      <c r="AR64" s="1080"/>
      <c r="AS64" s="1080">
        <v>2743.6</v>
      </c>
      <c r="AT64" s="1080">
        <f>20694.65-959</f>
        <v>19735.650000000001</v>
      </c>
    </row>
    <row r="65" spans="1:46" ht="40.5" customHeight="1" x14ac:dyDescent="0.2">
      <c r="A65" s="231"/>
      <c r="B65" s="146" t="s">
        <v>709</v>
      </c>
      <c r="C65" s="961" t="s">
        <v>446</v>
      </c>
      <c r="D65" s="148"/>
      <c r="E65" s="1081">
        <f t="shared" si="41"/>
        <v>5892</v>
      </c>
      <c r="F65" s="1081">
        <f>J65+N65+R65+V65+Z65+AF65+AJ65</f>
        <v>0</v>
      </c>
      <c r="G65" s="1081">
        <f>K65+O65+S65+W65+AA65+AG65+AK65</f>
        <v>5416.9</v>
      </c>
      <c r="H65" s="1081">
        <f t="shared" si="42"/>
        <v>475.1</v>
      </c>
      <c r="I65" s="1329"/>
      <c r="J65" s="1330"/>
      <c r="K65" s="1330"/>
      <c r="L65" s="1331"/>
      <c r="M65" s="1332"/>
      <c r="N65" s="1332"/>
      <c r="O65" s="1332"/>
      <c r="P65" s="1332"/>
      <c r="Q65" s="1329"/>
      <c r="R65" s="1333"/>
      <c r="S65" s="1333"/>
      <c r="T65" s="1333"/>
      <c r="U65" s="1334"/>
      <c r="V65" s="1335"/>
      <c r="W65" s="1335"/>
      <c r="X65" s="1336"/>
      <c r="Y65" s="1337"/>
      <c r="Z65" s="1338"/>
      <c r="AA65" s="1335"/>
      <c r="AB65" s="1337"/>
      <c r="AC65" s="117"/>
      <c r="AD65" s="117"/>
      <c r="AE65" s="1088">
        <f>AF65+AG65+AH65</f>
        <v>3769.7999999999997</v>
      </c>
      <c r="AF65" s="1089"/>
      <c r="AG65" s="191">
        <v>3584.2</v>
      </c>
      <c r="AH65" s="191">
        <v>185.6</v>
      </c>
      <c r="AI65" s="962">
        <f>AJ65+AK65+AL65</f>
        <v>1929.2</v>
      </c>
      <c r="AJ65" s="962"/>
      <c r="AK65" s="191">
        <v>1832.7</v>
      </c>
      <c r="AL65" s="191">
        <v>96.5</v>
      </c>
      <c r="AM65" s="876">
        <f>AN65+AO65+AP65</f>
        <v>1929.2</v>
      </c>
      <c r="AN65" s="876"/>
      <c r="AO65" s="191">
        <v>1832.7</v>
      </c>
      <c r="AP65" s="191">
        <v>96.5</v>
      </c>
      <c r="AQ65" s="876">
        <f>AR65+AS65+AT65</f>
        <v>1929.2</v>
      </c>
      <c r="AR65" s="876"/>
      <c r="AS65" s="191">
        <v>1832.7</v>
      </c>
      <c r="AT65" s="191">
        <v>96.5</v>
      </c>
    </row>
    <row r="66" spans="1:46" ht="40.5" customHeight="1" x14ac:dyDescent="0.2">
      <c r="A66" s="231"/>
      <c r="B66" s="146" t="s">
        <v>707</v>
      </c>
      <c r="C66" s="961" t="s">
        <v>446</v>
      </c>
      <c r="D66" s="148"/>
      <c r="E66" s="1081"/>
      <c r="F66" s="1081"/>
      <c r="G66" s="1081"/>
      <c r="H66" s="1081"/>
      <c r="I66" s="1329"/>
      <c r="J66" s="1330"/>
      <c r="K66" s="1330"/>
      <c r="L66" s="1331"/>
      <c r="M66" s="1332"/>
      <c r="N66" s="1332"/>
      <c r="O66" s="1332"/>
      <c r="P66" s="1332"/>
      <c r="Q66" s="1329"/>
      <c r="R66" s="1333"/>
      <c r="S66" s="1333"/>
      <c r="T66" s="1333"/>
      <c r="U66" s="1334"/>
      <c r="V66" s="1335"/>
      <c r="W66" s="1335"/>
      <c r="X66" s="1336"/>
      <c r="Y66" s="1337"/>
      <c r="Z66" s="1338"/>
      <c r="AA66" s="1335"/>
      <c r="AB66" s="1337"/>
      <c r="AC66" s="117"/>
      <c r="AD66" s="117"/>
      <c r="AE66" s="1088">
        <f>AF66+AG66+AH66</f>
        <v>1636.402</v>
      </c>
      <c r="AF66" s="1089"/>
      <c r="AG66" s="191">
        <f>1554.7-0.098</f>
        <v>1554.6020000000001</v>
      </c>
      <c r="AH66" s="191">
        <v>81.8</v>
      </c>
      <c r="AI66" s="962">
        <f>AJ66+AK66+AL66</f>
        <v>958.9</v>
      </c>
      <c r="AJ66" s="962"/>
      <c r="AK66" s="191">
        <v>910.9</v>
      </c>
      <c r="AL66" s="191">
        <v>48</v>
      </c>
      <c r="AM66" s="876">
        <f>AN66+AO66+AP66</f>
        <v>958.9</v>
      </c>
      <c r="AN66" s="876"/>
      <c r="AO66" s="191">
        <v>910.9</v>
      </c>
      <c r="AP66" s="191">
        <v>48</v>
      </c>
      <c r="AQ66" s="876">
        <f>AR66+AS66+AT66</f>
        <v>958.9</v>
      </c>
      <c r="AR66" s="876"/>
      <c r="AS66" s="191">
        <v>910.9</v>
      </c>
      <c r="AT66" s="191">
        <v>48</v>
      </c>
    </row>
    <row r="67" spans="1:46" ht="30" customHeight="1" x14ac:dyDescent="0.2">
      <c r="A67" s="712" t="s">
        <v>621</v>
      </c>
      <c r="B67" s="71" t="s">
        <v>619</v>
      </c>
      <c r="C67" s="895"/>
      <c r="D67" s="71"/>
      <c r="E67" s="188">
        <f t="shared" si="41"/>
        <v>126.13198</v>
      </c>
      <c r="F67" s="188">
        <f t="shared" ref="F67:G71" si="43">J67+N67+R67+V67+Z67+AF67+AJ67+AN67+AR67</f>
        <v>0</v>
      </c>
      <c r="G67" s="188">
        <f t="shared" si="43"/>
        <v>83.092979999999997</v>
      </c>
      <c r="H67" s="188">
        <f t="shared" si="42"/>
        <v>43.039000000000001</v>
      </c>
      <c r="I67" s="1257"/>
      <c r="J67" s="1257"/>
      <c r="K67" s="1257"/>
      <c r="L67" s="1259"/>
      <c r="M67" s="1277"/>
      <c r="N67" s="1277"/>
      <c r="O67" s="1277"/>
      <c r="P67" s="1277"/>
      <c r="Q67" s="1257"/>
      <c r="R67" s="1259"/>
      <c r="S67" s="1259"/>
      <c r="T67" s="1259"/>
      <c r="U67" s="1299"/>
      <c r="V67" s="1272"/>
      <c r="W67" s="1272"/>
      <c r="X67" s="1309"/>
      <c r="Y67" s="1278">
        <f t="shared" si="38"/>
        <v>87.492980000000003</v>
      </c>
      <c r="Z67" s="1339"/>
      <c r="AA67" s="1340">
        <v>83.092979999999997</v>
      </c>
      <c r="AB67" s="1341">
        <v>4.4000000000000004</v>
      </c>
      <c r="AC67" s="891"/>
      <c r="AD67" s="891"/>
      <c r="AE67" s="639">
        <f t="shared" si="39"/>
        <v>0</v>
      </c>
      <c r="AF67" s="619"/>
      <c r="AG67" s="637">
        <v>0</v>
      </c>
      <c r="AH67" s="638">
        <v>0</v>
      </c>
      <c r="AI67" s="639">
        <f t="shared" si="33"/>
        <v>38.639000000000003</v>
      </c>
      <c r="AJ67" s="875"/>
      <c r="AK67" s="639">
        <v>0</v>
      </c>
      <c r="AL67" s="639">
        <v>38.639000000000003</v>
      </c>
      <c r="AM67" s="876">
        <f t="shared" si="40"/>
        <v>0</v>
      </c>
      <c r="AN67" s="876"/>
      <c r="AO67" s="886"/>
      <c r="AP67" s="886"/>
      <c r="AQ67" s="876">
        <f t="shared" ref="AQ67:AQ74" si="44">AR67+AS67+AT67</f>
        <v>0</v>
      </c>
      <c r="AR67" s="876"/>
      <c r="AS67" s="886"/>
      <c r="AT67" s="886"/>
    </row>
    <row r="68" spans="1:46" ht="49.5" customHeight="1" x14ac:dyDescent="0.2">
      <c r="A68" s="1551" t="s">
        <v>735</v>
      </c>
      <c r="B68" s="1552" t="s">
        <v>737</v>
      </c>
      <c r="C68" s="894"/>
      <c r="D68" s="1394"/>
      <c r="E68" s="188">
        <f t="shared" si="41"/>
        <v>2763.2</v>
      </c>
      <c r="F68" s="188">
        <f t="shared" si="43"/>
        <v>0</v>
      </c>
      <c r="G68" s="188">
        <f t="shared" si="43"/>
        <v>0</v>
      </c>
      <c r="H68" s="188">
        <f t="shared" si="42"/>
        <v>2763.2</v>
      </c>
      <c r="I68" s="1355"/>
      <c r="J68" s="1355"/>
      <c r="K68" s="1355"/>
      <c r="L68" s="1395"/>
      <c r="M68" s="1396"/>
      <c r="N68" s="1396"/>
      <c r="O68" s="1396"/>
      <c r="P68" s="1396"/>
      <c r="Q68" s="1355"/>
      <c r="R68" s="1395"/>
      <c r="S68" s="1395"/>
      <c r="T68" s="1395"/>
      <c r="U68" s="1397"/>
      <c r="V68" s="1398"/>
      <c r="W68" s="1398"/>
      <c r="X68" s="1399"/>
      <c r="Y68" s="1400"/>
      <c r="Z68" s="1401"/>
      <c r="AA68" s="1402"/>
      <c r="AB68" s="1403"/>
      <c r="AC68" s="1404"/>
      <c r="AD68" s="1404"/>
      <c r="AE68" s="1405"/>
      <c r="AF68" s="1406"/>
      <c r="AG68" s="1407"/>
      <c r="AH68" s="1408"/>
      <c r="AI68" s="639">
        <f t="shared" si="33"/>
        <v>2763.2</v>
      </c>
      <c r="AJ68" s="1409"/>
      <c r="AK68" s="1405"/>
      <c r="AL68" s="1433">
        <v>2763.2</v>
      </c>
      <c r="AM68" s="876">
        <f t="shared" si="40"/>
        <v>0</v>
      </c>
      <c r="AN68" s="876"/>
      <c r="AO68" s="886"/>
      <c r="AP68" s="886"/>
      <c r="AQ68" s="876">
        <f t="shared" si="44"/>
        <v>0</v>
      </c>
      <c r="AR68" s="876"/>
      <c r="AS68" s="886"/>
      <c r="AT68" s="886"/>
    </row>
    <row r="69" spans="1:46" ht="120" customHeight="1" x14ac:dyDescent="0.2">
      <c r="A69" s="1431" t="s">
        <v>749</v>
      </c>
      <c r="B69" s="542" t="s">
        <v>588</v>
      </c>
      <c r="C69" s="894"/>
      <c r="D69" s="1394"/>
      <c r="E69" s="188">
        <f t="shared" si="41"/>
        <v>300</v>
      </c>
      <c r="F69" s="188">
        <f t="shared" si="43"/>
        <v>0</v>
      </c>
      <c r="G69" s="188">
        <f t="shared" si="43"/>
        <v>0</v>
      </c>
      <c r="H69" s="188">
        <f t="shared" si="42"/>
        <v>300</v>
      </c>
      <c r="I69" s="1355"/>
      <c r="J69" s="1355"/>
      <c r="K69" s="1355"/>
      <c r="L69" s="1395"/>
      <c r="M69" s="1396"/>
      <c r="N69" s="1396"/>
      <c r="O69" s="1396"/>
      <c r="P69" s="1396"/>
      <c r="Q69" s="1355"/>
      <c r="R69" s="1395"/>
      <c r="S69" s="1395"/>
      <c r="T69" s="1395"/>
      <c r="U69" s="1397"/>
      <c r="V69" s="1398"/>
      <c r="W69" s="1398"/>
      <c r="X69" s="1399"/>
      <c r="Y69" s="1400"/>
      <c r="Z69" s="1401"/>
      <c r="AA69" s="1402"/>
      <c r="AB69" s="1403"/>
      <c r="AC69" s="1404"/>
      <c r="AD69" s="1404"/>
      <c r="AE69" s="1405"/>
      <c r="AF69" s="1406"/>
      <c r="AG69" s="1407"/>
      <c r="AH69" s="1408"/>
      <c r="AI69" s="639">
        <f t="shared" si="33"/>
        <v>150</v>
      </c>
      <c r="AJ69" s="1409"/>
      <c r="AK69" s="1405"/>
      <c r="AL69" s="1433">
        <v>150</v>
      </c>
      <c r="AM69" s="876">
        <f t="shared" si="40"/>
        <v>0</v>
      </c>
      <c r="AN69" s="876"/>
      <c r="AO69" s="886"/>
      <c r="AP69" s="886"/>
      <c r="AQ69" s="876">
        <f t="shared" si="44"/>
        <v>150</v>
      </c>
      <c r="AR69" s="876"/>
      <c r="AS69" s="886"/>
      <c r="AT69" s="886">
        <v>150</v>
      </c>
    </row>
    <row r="70" spans="1:46" ht="43.5" customHeight="1" x14ac:dyDescent="0.2">
      <c r="A70" s="1543" t="s">
        <v>797</v>
      </c>
      <c r="B70" s="1539" t="s">
        <v>792</v>
      </c>
      <c r="C70" s="894" t="s">
        <v>321</v>
      </c>
      <c r="D70" s="1394"/>
      <c r="E70" s="188">
        <f t="shared" si="41"/>
        <v>36992.94</v>
      </c>
      <c r="F70" s="188">
        <f t="shared" si="43"/>
        <v>0</v>
      </c>
      <c r="G70" s="188">
        <f t="shared" si="43"/>
        <v>0</v>
      </c>
      <c r="H70" s="188">
        <f t="shared" si="42"/>
        <v>36992.94</v>
      </c>
      <c r="I70" s="1355"/>
      <c r="J70" s="1355"/>
      <c r="K70" s="1355"/>
      <c r="L70" s="1395"/>
      <c r="M70" s="1396"/>
      <c r="N70" s="1396"/>
      <c r="O70" s="1396"/>
      <c r="P70" s="1396"/>
      <c r="Q70" s="1355"/>
      <c r="R70" s="1395"/>
      <c r="S70" s="1395"/>
      <c r="T70" s="1395"/>
      <c r="U70" s="1397"/>
      <c r="V70" s="1398"/>
      <c r="W70" s="1398"/>
      <c r="X70" s="1399"/>
      <c r="Y70" s="1400"/>
      <c r="Z70" s="1401"/>
      <c r="AA70" s="1402"/>
      <c r="AB70" s="1403"/>
      <c r="AC70" s="1404"/>
      <c r="AD70" s="1404"/>
      <c r="AE70" s="1405"/>
      <c r="AF70" s="1406"/>
      <c r="AG70" s="1407"/>
      <c r="AH70" s="1408"/>
      <c r="AI70" s="1544">
        <f>AJ70+AK70+AL70</f>
        <v>6713.3</v>
      </c>
      <c r="AJ70" s="1544"/>
      <c r="AK70" s="1544"/>
      <c r="AL70" s="1545">
        <v>6713.3</v>
      </c>
      <c r="AM70" s="1546">
        <f>AN70+AO70+AP70</f>
        <v>10139.799999999999</v>
      </c>
      <c r="AN70" s="1546"/>
      <c r="AO70" s="1546"/>
      <c r="AP70" s="1546">
        <f>20139.8-10000</f>
        <v>10139.799999999999</v>
      </c>
      <c r="AQ70" s="1546">
        <f>AR70+AS70+AT70</f>
        <v>20139.84</v>
      </c>
      <c r="AR70" s="1546"/>
      <c r="AS70" s="1546"/>
      <c r="AT70" s="1546">
        <v>20139.84</v>
      </c>
    </row>
    <row r="71" spans="1:46" ht="43.5" customHeight="1" x14ac:dyDescent="0.2">
      <c r="A71" s="1543" t="s">
        <v>761</v>
      </c>
      <c r="B71" s="1539" t="s">
        <v>794</v>
      </c>
      <c r="C71" s="894" t="s">
        <v>321</v>
      </c>
      <c r="D71" s="1394"/>
      <c r="E71" s="188">
        <f t="shared" si="41"/>
        <v>935</v>
      </c>
      <c r="F71" s="188">
        <f t="shared" si="43"/>
        <v>0</v>
      </c>
      <c r="G71" s="188">
        <f t="shared" si="43"/>
        <v>0</v>
      </c>
      <c r="H71" s="188">
        <f t="shared" si="42"/>
        <v>935</v>
      </c>
      <c r="I71" s="1355"/>
      <c r="J71" s="1355"/>
      <c r="K71" s="1355"/>
      <c r="L71" s="1395"/>
      <c r="M71" s="1396"/>
      <c r="N71" s="1396"/>
      <c r="O71" s="1396"/>
      <c r="P71" s="1396"/>
      <c r="Q71" s="1355"/>
      <c r="R71" s="1395"/>
      <c r="S71" s="1395"/>
      <c r="T71" s="1395"/>
      <c r="U71" s="1397"/>
      <c r="V71" s="1398"/>
      <c r="W71" s="1398"/>
      <c r="X71" s="1399"/>
      <c r="Y71" s="1400"/>
      <c r="Z71" s="1401"/>
      <c r="AA71" s="1402"/>
      <c r="AB71" s="1403"/>
      <c r="AC71" s="1404"/>
      <c r="AD71" s="1404"/>
      <c r="AE71" s="1405"/>
      <c r="AF71" s="1406"/>
      <c r="AG71" s="1407"/>
      <c r="AH71" s="1408"/>
      <c r="AI71" s="1544">
        <f>AJ71+AK71+AL71</f>
        <v>135</v>
      </c>
      <c r="AJ71" s="1544"/>
      <c r="AK71" s="1544"/>
      <c r="AL71" s="1545">
        <v>135</v>
      </c>
      <c r="AM71" s="1546">
        <f>AN71+AO71+AP71</f>
        <v>400</v>
      </c>
      <c r="AN71" s="1546"/>
      <c r="AO71" s="1546"/>
      <c r="AP71" s="1546">
        <v>400</v>
      </c>
      <c r="AQ71" s="1546">
        <f>AR71+AS71+AT71</f>
        <v>400</v>
      </c>
      <c r="AR71" s="1546"/>
      <c r="AS71" s="1546"/>
      <c r="AT71" s="1546">
        <v>400</v>
      </c>
    </row>
    <row r="72" spans="1:46" ht="142.5" customHeight="1" x14ac:dyDescent="0.2">
      <c r="A72" s="1547" t="s">
        <v>791</v>
      </c>
      <c r="B72" s="1548" t="s">
        <v>798</v>
      </c>
      <c r="C72" s="894"/>
      <c r="D72" s="1394"/>
      <c r="E72" s="188">
        <f>F72+G72+H72</f>
        <v>3997.3698199999999</v>
      </c>
      <c r="F72" s="188">
        <f t="shared" ref="F72:H73" si="45">J72+N72+R72+V72+Z72+AF72+AJ72+AN72+AR72</f>
        <v>3797.5</v>
      </c>
      <c r="G72" s="188">
        <f t="shared" si="45"/>
        <v>0</v>
      </c>
      <c r="H72" s="188">
        <f t="shared" si="45"/>
        <v>199.86982</v>
      </c>
      <c r="I72" s="1355"/>
      <c r="J72" s="1355"/>
      <c r="K72" s="1355"/>
      <c r="L72" s="1395"/>
      <c r="M72" s="1396"/>
      <c r="N72" s="1396"/>
      <c r="O72" s="1396"/>
      <c r="P72" s="1396"/>
      <c r="Q72" s="1355"/>
      <c r="R72" s="1395"/>
      <c r="S72" s="1395"/>
      <c r="T72" s="1395"/>
      <c r="U72" s="1397"/>
      <c r="V72" s="1398"/>
      <c r="W72" s="1398"/>
      <c r="X72" s="1399"/>
      <c r="Y72" s="1400"/>
      <c r="Z72" s="1401"/>
      <c r="AA72" s="1402"/>
      <c r="AB72" s="1403"/>
      <c r="AC72" s="1404"/>
      <c r="AD72" s="1404"/>
      <c r="AE72" s="1405"/>
      <c r="AF72" s="1406"/>
      <c r="AG72" s="1407"/>
      <c r="AH72" s="1408"/>
      <c r="AI72" s="639">
        <f t="shared" si="33"/>
        <v>3997.3698199999999</v>
      </c>
      <c r="AJ72" s="1405">
        <v>3797.5</v>
      </c>
      <c r="AK72" s="1405"/>
      <c r="AL72" s="1433">
        <v>199.86982</v>
      </c>
      <c r="AM72" s="876">
        <f t="shared" si="40"/>
        <v>0</v>
      </c>
      <c r="AN72" s="876"/>
      <c r="AO72" s="886"/>
      <c r="AP72" s="886"/>
      <c r="AQ72" s="876"/>
      <c r="AR72" s="876"/>
      <c r="AS72" s="886"/>
      <c r="AT72" s="886"/>
    </row>
    <row r="73" spans="1:46" ht="32.25" customHeight="1" x14ac:dyDescent="0.2">
      <c r="A73" s="1549" t="s">
        <v>793</v>
      </c>
      <c r="B73" s="1550" t="s">
        <v>799</v>
      </c>
      <c r="C73" s="894" t="s">
        <v>43</v>
      </c>
      <c r="D73" s="1394"/>
      <c r="E73" s="188">
        <f>F73+G73+H73</f>
        <v>2437.4757999999997</v>
      </c>
      <c r="F73" s="188">
        <f t="shared" si="45"/>
        <v>2315.6</v>
      </c>
      <c r="G73" s="188">
        <f t="shared" si="45"/>
        <v>0</v>
      </c>
      <c r="H73" s="188">
        <f t="shared" si="45"/>
        <v>121.8758</v>
      </c>
      <c r="I73" s="1355"/>
      <c r="J73" s="1355"/>
      <c r="K73" s="1355"/>
      <c r="L73" s="1395"/>
      <c r="M73" s="1396"/>
      <c r="N73" s="1396"/>
      <c r="O73" s="1396"/>
      <c r="P73" s="1396"/>
      <c r="Q73" s="1355"/>
      <c r="R73" s="1395"/>
      <c r="S73" s="1395"/>
      <c r="T73" s="1395"/>
      <c r="U73" s="1397"/>
      <c r="V73" s="1398"/>
      <c r="W73" s="1398"/>
      <c r="X73" s="1399"/>
      <c r="Y73" s="1400"/>
      <c r="Z73" s="1401"/>
      <c r="AA73" s="1402"/>
      <c r="AB73" s="1403"/>
      <c r="AC73" s="1404"/>
      <c r="AD73" s="1404"/>
      <c r="AE73" s="1405"/>
      <c r="AF73" s="1406"/>
      <c r="AG73" s="1407"/>
      <c r="AH73" s="1408"/>
      <c r="AI73" s="639">
        <f t="shared" si="33"/>
        <v>0</v>
      </c>
      <c r="AJ73" s="1405"/>
      <c r="AK73" s="1405"/>
      <c r="AL73" s="1433"/>
      <c r="AM73" s="876">
        <f t="shared" si="40"/>
        <v>2437.4757999999997</v>
      </c>
      <c r="AN73" s="876">
        <v>2315.6</v>
      </c>
      <c r="AO73" s="886"/>
      <c r="AP73" s="886">
        <v>121.8758</v>
      </c>
      <c r="AQ73" s="876"/>
      <c r="AR73" s="876"/>
      <c r="AS73" s="886"/>
      <c r="AT73" s="886"/>
    </row>
    <row r="74" spans="1:46" ht="54.75" customHeight="1" x14ac:dyDescent="0.2">
      <c r="A74" s="1033" t="s">
        <v>190</v>
      </c>
      <c r="B74" s="105" t="s">
        <v>221</v>
      </c>
      <c r="C74" s="103"/>
      <c r="D74" s="963" t="s">
        <v>7</v>
      </c>
      <c r="E74" s="964">
        <f t="shared" si="41"/>
        <v>7235.6619999999994</v>
      </c>
      <c r="F74" s="964">
        <f>J74+N74+R74+V74+Z74+AF74+AJ74</f>
        <v>0</v>
      </c>
      <c r="G74" s="964">
        <f>K74+O74+S74+W74+AA74+AG74+AK74</f>
        <v>0</v>
      </c>
      <c r="H74" s="964">
        <f t="shared" si="42"/>
        <v>7235.6619999999994</v>
      </c>
      <c r="I74" s="1342">
        <f>J74+K74+L74</f>
        <v>641.4</v>
      </c>
      <c r="J74" s="1343">
        <f>J75</f>
        <v>0</v>
      </c>
      <c r="K74" s="1343">
        <f>K75</f>
        <v>0</v>
      </c>
      <c r="L74" s="1343">
        <f>L75</f>
        <v>641.4</v>
      </c>
      <c r="M74" s="1342">
        <f>N74+O74+P74</f>
        <v>603</v>
      </c>
      <c r="N74" s="1343">
        <f>N75</f>
        <v>0</v>
      </c>
      <c r="O74" s="1343">
        <f>O75</f>
        <v>0</v>
      </c>
      <c r="P74" s="1343">
        <f>P75</f>
        <v>603</v>
      </c>
      <c r="Q74" s="1342">
        <f>R74+S74+T74</f>
        <v>589.3546</v>
      </c>
      <c r="R74" s="1343">
        <f>R75</f>
        <v>0</v>
      </c>
      <c r="S74" s="1343">
        <f>S75</f>
        <v>0</v>
      </c>
      <c r="T74" s="1343">
        <f>T75</f>
        <v>589.3546</v>
      </c>
      <c r="U74" s="1344">
        <f>V74+W74+X74</f>
        <v>635.4</v>
      </c>
      <c r="V74" s="1345">
        <f>V75</f>
        <v>0</v>
      </c>
      <c r="W74" s="1345">
        <f>W75</f>
        <v>0</v>
      </c>
      <c r="X74" s="1345">
        <f>X75</f>
        <v>635.4</v>
      </c>
      <c r="Y74" s="1344">
        <f>Z74+AA74+AB74</f>
        <v>1001.6858000000001</v>
      </c>
      <c r="Z74" s="1345">
        <f>Z75</f>
        <v>0</v>
      </c>
      <c r="AA74" s="1345">
        <f>AA75</f>
        <v>0</v>
      </c>
      <c r="AB74" s="1345">
        <f>AB75</f>
        <v>1001.6858000000001</v>
      </c>
      <c r="AC74" s="707"/>
      <c r="AD74" s="707"/>
      <c r="AE74" s="964">
        <f>AF74+AG74+AH74</f>
        <v>1036.6215999999999</v>
      </c>
      <c r="AF74" s="965">
        <f>AF75</f>
        <v>0</v>
      </c>
      <c r="AG74" s="965">
        <f>AG75</f>
        <v>0</v>
      </c>
      <c r="AH74" s="1143">
        <f>AH76+AH77+AH78+AH79+AH80+AH81+AH82+AH84</f>
        <v>1036.6215999999999</v>
      </c>
      <c r="AI74" s="966">
        <f>AJ74+AK74+AL74</f>
        <v>909.4</v>
      </c>
      <c r="AJ74" s="967"/>
      <c r="AK74" s="967"/>
      <c r="AL74" s="968">
        <f>AL76+AL77+AL78+AL79+AL80+AL81+AL82</f>
        <v>909.4</v>
      </c>
      <c r="AM74" s="873">
        <f t="shared" si="40"/>
        <v>909.4</v>
      </c>
      <c r="AN74" s="873">
        <f>AN76+AN77+AN78+AN79+AN80+AN81+AN82</f>
        <v>0</v>
      </c>
      <c r="AO74" s="873">
        <f>AO76+AO77+AO78+AO79+AO80+AO81+AO82</f>
        <v>0</v>
      </c>
      <c r="AP74" s="873">
        <f>AP76+AP77+AP78+AP79+AP80+AP81+AP82</f>
        <v>909.4</v>
      </c>
      <c r="AQ74" s="873">
        <f t="shared" si="44"/>
        <v>909.4</v>
      </c>
      <c r="AR74" s="873">
        <f>AR76+AR77+AR78+AR79+AR80+AR81+AR82</f>
        <v>0</v>
      </c>
      <c r="AS74" s="873">
        <f>AS76+AS77+AS78+AS79+AS80+AS81+AS82</f>
        <v>0</v>
      </c>
      <c r="AT74" s="873">
        <f>AT76+AT77+AT78+AT79+AT80+AT81+AT82</f>
        <v>909.4</v>
      </c>
    </row>
    <row r="75" spans="1:46" ht="12.75" hidden="1" customHeight="1" x14ac:dyDescent="0.2">
      <c r="A75" s="123" t="s">
        <v>52</v>
      </c>
      <c r="B75" s="124" t="s">
        <v>256</v>
      </c>
      <c r="C75" s="125"/>
      <c r="D75" s="126"/>
      <c r="E75" s="194">
        <f t="shared" si="41"/>
        <v>4461.4620000000004</v>
      </c>
      <c r="F75" s="194">
        <f>SUM(F76:F82)</f>
        <v>0</v>
      </c>
      <c r="G75" s="194">
        <f>SUM(G76:G82)</f>
        <v>0</v>
      </c>
      <c r="H75" s="197">
        <f>L75+P75+T75+X75+AB75+AH75</f>
        <v>4461.4620000000004</v>
      </c>
      <c r="I75" s="1346">
        <f>J75+K75+L75</f>
        <v>641.4</v>
      </c>
      <c r="J75" s="1346">
        <f>SUM(J76:J82)</f>
        <v>0</v>
      </c>
      <c r="K75" s="1346">
        <f>SUM(K76:K82)</f>
        <v>0</v>
      </c>
      <c r="L75" s="1346">
        <f>SUM(L76:L82)</f>
        <v>641.4</v>
      </c>
      <c r="M75" s="1346">
        <f>N75+O75+P75</f>
        <v>603</v>
      </c>
      <c r="N75" s="1346">
        <f>SUM(N76:N82)</f>
        <v>0</v>
      </c>
      <c r="O75" s="1346">
        <f>SUM(O76:O82)</f>
        <v>0</v>
      </c>
      <c r="P75" s="1346">
        <f>SUM(P76:P82)</f>
        <v>603</v>
      </c>
      <c r="Q75" s="1346">
        <f>R75+S75+T75</f>
        <v>589.3546</v>
      </c>
      <c r="R75" s="1346">
        <f>SUM(R76:R82)</f>
        <v>0</v>
      </c>
      <c r="S75" s="1346">
        <f>SUM(S76:S82)</f>
        <v>0</v>
      </c>
      <c r="T75" s="1346">
        <f>SUM(T76:T83)</f>
        <v>589.3546</v>
      </c>
      <c r="U75" s="1347">
        <f>V75+W75+X75</f>
        <v>635.4</v>
      </c>
      <c r="V75" s="1347">
        <f>SUM(V76:V82)</f>
        <v>0</v>
      </c>
      <c r="W75" s="1347">
        <f>SUM(W76:W82)</f>
        <v>0</v>
      </c>
      <c r="X75" s="1299">
        <f>SUM(X76:X82)</f>
        <v>635.4</v>
      </c>
      <c r="Y75" s="1348">
        <f t="shared" ref="Y75:Y82" si="46">Z75+AA75+AB75</f>
        <v>1001.6858000000001</v>
      </c>
      <c r="Z75" s="1299">
        <f>SUM(Z76:Z82)</f>
        <v>0</v>
      </c>
      <c r="AA75" s="1299">
        <f>SUM(AA76:AA82)</f>
        <v>0</v>
      </c>
      <c r="AB75" s="1299">
        <f>SUM(AB76:AB82)</f>
        <v>1001.6858000000001</v>
      </c>
      <c r="AC75" s="117"/>
      <c r="AD75" s="117"/>
      <c r="AE75" s="187">
        <f>AF75+AG75+AH75</f>
        <v>990.62159999999994</v>
      </c>
      <c r="AF75" s="187">
        <f>SUM(AF76:AF82)</f>
        <v>0</v>
      </c>
      <c r="AG75" s="187">
        <f>SUM(AG76:AG82)</f>
        <v>0</v>
      </c>
      <c r="AH75" s="193">
        <f>SUM(AH76:AH82)</f>
        <v>990.62159999999994</v>
      </c>
      <c r="AI75" s="872"/>
      <c r="AJ75" s="784"/>
      <c r="AK75" s="784"/>
      <c r="AL75" s="945"/>
      <c r="AM75" s="960"/>
      <c r="AN75" s="960"/>
      <c r="AO75" s="960"/>
      <c r="AP75" s="960"/>
      <c r="AQ75" s="960"/>
      <c r="AR75" s="960"/>
      <c r="AS75" s="960"/>
      <c r="AT75" s="960"/>
    </row>
    <row r="76" spans="1:46" ht="54.75" customHeight="1" x14ac:dyDescent="0.2">
      <c r="A76" s="88" t="s">
        <v>52</v>
      </c>
      <c r="B76" s="74" t="s">
        <v>222</v>
      </c>
      <c r="C76" s="89" t="s">
        <v>184</v>
      </c>
      <c r="D76" s="89"/>
      <c r="E76" s="187">
        <f t="shared" si="41"/>
        <v>2259.2074000000002</v>
      </c>
      <c r="F76" s="187">
        <f>J76+N76+R76+V76+Z76+AF76+AJ76+AN76+AR76</f>
        <v>0</v>
      </c>
      <c r="G76" s="187">
        <f>K76+O76+S76+W76+AA76+AG76+AK76+AO76+AS76</f>
        <v>0</v>
      </c>
      <c r="H76" s="187">
        <f>L76+P76+T76+X76+AB76+AH76+AL76+AP76+AT76</f>
        <v>2259.2074000000002</v>
      </c>
      <c r="I76" s="1257">
        <f>J76+K76+L76</f>
        <v>50</v>
      </c>
      <c r="J76" s="1257"/>
      <c r="K76" s="1257"/>
      <c r="L76" s="1298">
        <v>50</v>
      </c>
      <c r="M76" s="1259">
        <f t="shared" ref="M76:M86" si="47">N76+O76+P76</f>
        <v>35</v>
      </c>
      <c r="N76" s="1259"/>
      <c r="O76" s="1260"/>
      <c r="P76" s="1260">
        <v>35</v>
      </c>
      <c r="Q76" s="1262">
        <f t="shared" ref="Q76:Q86" si="48">R76+S76+T76</f>
        <v>35</v>
      </c>
      <c r="R76" s="1262"/>
      <c r="S76" s="1262"/>
      <c r="T76" s="1262">
        <v>35</v>
      </c>
      <c r="U76" s="1262">
        <f t="shared" ref="U76:U86" si="49">V76+W76+X76</f>
        <v>195</v>
      </c>
      <c r="V76" s="1262"/>
      <c r="W76" s="1262"/>
      <c r="X76" s="1309">
        <v>195</v>
      </c>
      <c r="Y76" s="1299">
        <f t="shared" si="46"/>
        <v>329.58580000000001</v>
      </c>
      <c r="Z76" s="1276"/>
      <c r="AA76" s="1259"/>
      <c r="AB76" s="1259">
        <f>195+200-6.8723-58.5419</f>
        <v>329.58580000000001</v>
      </c>
      <c r="AC76" s="117"/>
      <c r="AD76" s="117"/>
      <c r="AE76" s="637">
        <f>AF76+AG76+AH76</f>
        <v>435.62159999999994</v>
      </c>
      <c r="AF76" s="619"/>
      <c r="AG76" s="619"/>
      <c r="AH76" s="633">
        <f>395+154.2216-150+225-225+32+4.4</f>
        <v>435.62159999999994</v>
      </c>
      <c r="AI76" s="872">
        <f>AJ76+AK76+AL76</f>
        <v>393</v>
      </c>
      <c r="AJ76" s="872"/>
      <c r="AK76" s="872"/>
      <c r="AL76" s="945">
        <f>321.45+10+37.85+5+18.7</f>
        <v>393</v>
      </c>
      <c r="AM76" s="872">
        <f>AN76+AO76+AP76</f>
        <v>393</v>
      </c>
      <c r="AN76" s="872"/>
      <c r="AO76" s="872"/>
      <c r="AP76" s="872">
        <v>393</v>
      </c>
      <c r="AQ76" s="872">
        <f>AR76+AS76+AT76</f>
        <v>393</v>
      </c>
      <c r="AR76" s="872"/>
      <c r="AS76" s="872"/>
      <c r="AT76" s="872">
        <v>393</v>
      </c>
    </row>
    <row r="77" spans="1:46" ht="38.25" customHeight="1" x14ac:dyDescent="0.2">
      <c r="A77" s="88" t="s">
        <v>282</v>
      </c>
      <c r="B77" s="89" t="s">
        <v>223</v>
      </c>
      <c r="C77" s="89" t="s">
        <v>184</v>
      </c>
      <c r="D77" s="89"/>
      <c r="E77" s="187">
        <f t="shared" ref="E77:E84" si="50">F77+G77+H77</f>
        <v>147</v>
      </c>
      <c r="F77" s="187">
        <f>J77+N77+R77+V77+Z77+AF77+AJ77+AN77+AR77</f>
        <v>0</v>
      </c>
      <c r="G77" s="187">
        <f>K77+O77+S77+W77+AA77+AG77+AK77+AO77+AS77</f>
        <v>0</v>
      </c>
      <c r="H77" s="187">
        <f t="shared" ref="H77:H84" si="51">L77+P77+T77+X77+AB77+AH77+AL77+AP77+AT77</f>
        <v>147</v>
      </c>
      <c r="I77" s="1257">
        <f t="shared" ref="I77:I85" si="52">J77+K77+L77</f>
        <v>15</v>
      </c>
      <c r="J77" s="1257"/>
      <c r="K77" s="1257"/>
      <c r="L77" s="1298">
        <v>15</v>
      </c>
      <c r="M77" s="1259">
        <f t="shared" si="47"/>
        <v>15</v>
      </c>
      <c r="N77" s="1259"/>
      <c r="O77" s="1260"/>
      <c r="P77" s="1260">
        <v>15</v>
      </c>
      <c r="Q77" s="1262">
        <f t="shared" si="48"/>
        <v>15</v>
      </c>
      <c r="R77" s="1262"/>
      <c r="S77" s="1262"/>
      <c r="T77" s="1262">
        <v>15</v>
      </c>
      <c r="U77" s="1262">
        <f t="shared" si="49"/>
        <v>17</v>
      </c>
      <c r="V77" s="1262"/>
      <c r="W77" s="1262"/>
      <c r="X77" s="1309">
        <v>17</v>
      </c>
      <c r="Y77" s="1299">
        <f t="shared" si="46"/>
        <v>17</v>
      </c>
      <c r="Z77" s="1276"/>
      <c r="AA77" s="1259"/>
      <c r="AB77" s="1259">
        <v>17</v>
      </c>
      <c r="AC77" s="117"/>
      <c r="AD77" s="117"/>
      <c r="AE77" s="637">
        <f t="shared" ref="AE77:AE84" si="53">AF77+AG77+AH77</f>
        <v>17</v>
      </c>
      <c r="AF77" s="619"/>
      <c r="AG77" s="619"/>
      <c r="AH77" s="280">
        <v>17</v>
      </c>
      <c r="AI77" s="872">
        <f t="shared" ref="AI77:AI82" si="54">AJ77+AK77+AL77</f>
        <v>17</v>
      </c>
      <c r="AJ77" s="872"/>
      <c r="AK77" s="872"/>
      <c r="AL77" s="945">
        <v>17</v>
      </c>
      <c r="AM77" s="872">
        <f t="shared" ref="AM77:AM82" si="55">AN77+AO77+AP77</f>
        <v>17</v>
      </c>
      <c r="AN77" s="872"/>
      <c r="AO77" s="872"/>
      <c r="AP77" s="872">
        <v>17</v>
      </c>
      <c r="AQ77" s="872">
        <f t="shared" ref="AQ77:AQ82" si="56">AR77+AS77+AT77</f>
        <v>17</v>
      </c>
      <c r="AR77" s="872"/>
      <c r="AS77" s="872"/>
      <c r="AT77" s="872">
        <v>17</v>
      </c>
    </row>
    <row r="78" spans="1:46" ht="72.75" customHeight="1" x14ac:dyDescent="0.2">
      <c r="A78" s="88" t="s">
        <v>313</v>
      </c>
      <c r="B78" s="89" t="s">
        <v>224</v>
      </c>
      <c r="C78" s="89" t="s">
        <v>184</v>
      </c>
      <c r="D78" s="89"/>
      <c r="E78" s="187">
        <f t="shared" si="50"/>
        <v>1631.7546</v>
      </c>
      <c r="F78" s="187">
        <f t="shared" ref="F78:G82" si="57">J78+N78+R78+V78+Z78+AF78+AJ78</f>
        <v>0</v>
      </c>
      <c r="G78" s="187">
        <f t="shared" si="57"/>
        <v>0</v>
      </c>
      <c r="H78" s="187">
        <f t="shared" si="51"/>
        <v>1631.7546</v>
      </c>
      <c r="I78" s="1257">
        <f t="shared" si="52"/>
        <v>115.4</v>
      </c>
      <c r="J78" s="1257"/>
      <c r="K78" s="1257"/>
      <c r="L78" s="1298">
        <v>115.4</v>
      </c>
      <c r="M78" s="1259">
        <f t="shared" si="47"/>
        <v>117</v>
      </c>
      <c r="N78" s="1259"/>
      <c r="O78" s="1260"/>
      <c r="P78" s="1260">
        <v>117</v>
      </c>
      <c r="Q78" s="1262">
        <f t="shared" si="48"/>
        <v>103.3546</v>
      </c>
      <c r="R78" s="1262"/>
      <c r="S78" s="1262"/>
      <c r="T78" s="1262">
        <v>103.3546</v>
      </c>
      <c r="U78" s="1262">
        <f t="shared" si="49"/>
        <v>216</v>
      </c>
      <c r="V78" s="1262"/>
      <c r="W78" s="1262"/>
      <c r="X78" s="1309">
        <v>216</v>
      </c>
      <c r="Y78" s="1299">
        <f t="shared" si="46"/>
        <v>216</v>
      </c>
      <c r="Z78" s="1276"/>
      <c r="AA78" s="1259"/>
      <c r="AB78" s="1259">
        <v>216</v>
      </c>
      <c r="AC78" s="117"/>
      <c r="AD78" s="117"/>
      <c r="AE78" s="637">
        <f t="shared" si="53"/>
        <v>216</v>
      </c>
      <c r="AF78" s="619"/>
      <c r="AG78" s="619"/>
      <c r="AH78" s="280">
        <v>216</v>
      </c>
      <c r="AI78" s="872">
        <f t="shared" si="54"/>
        <v>216</v>
      </c>
      <c r="AJ78" s="872"/>
      <c r="AK78" s="872"/>
      <c r="AL78" s="945">
        <v>216</v>
      </c>
      <c r="AM78" s="872">
        <f t="shared" si="55"/>
        <v>216</v>
      </c>
      <c r="AN78" s="872"/>
      <c r="AO78" s="872"/>
      <c r="AP78" s="872">
        <v>216</v>
      </c>
      <c r="AQ78" s="872">
        <f t="shared" si="56"/>
        <v>216</v>
      </c>
      <c r="AR78" s="872"/>
      <c r="AS78" s="872"/>
      <c r="AT78" s="872">
        <v>216</v>
      </c>
    </row>
    <row r="79" spans="1:46" ht="48" customHeight="1" x14ac:dyDescent="0.2">
      <c r="A79" s="88" t="s">
        <v>314</v>
      </c>
      <c r="B79" s="89" t="s">
        <v>225</v>
      </c>
      <c r="C79" s="89" t="s">
        <v>184</v>
      </c>
      <c r="D79" s="89"/>
      <c r="E79" s="187">
        <f t="shared" si="50"/>
        <v>417</v>
      </c>
      <c r="F79" s="187">
        <f t="shared" si="57"/>
        <v>0</v>
      </c>
      <c r="G79" s="187">
        <f t="shared" si="57"/>
        <v>0</v>
      </c>
      <c r="H79" s="187">
        <f t="shared" si="51"/>
        <v>417</v>
      </c>
      <c r="I79" s="1257">
        <f t="shared" si="52"/>
        <v>139</v>
      </c>
      <c r="J79" s="1257"/>
      <c r="K79" s="1257"/>
      <c r="L79" s="1298">
        <v>139</v>
      </c>
      <c r="M79" s="1259">
        <f t="shared" si="47"/>
        <v>139</v>
      </c>
      <c r="N79" s="1259"/>
      <c r="O79" s="1260"/>
      <c r="P79" s="1260">
        <v>139</v>
      </c>
      <c r="Q79" s="1262">
        <f t="shared" si="48"/>
        <v>139</v>
      </c>
      <c r="R79" s="1262"/>
      <c r="S79" s="1262"/>
      <c r="T79" s="1262">
        <v>139</v>
      </c>
      <c r="U79" s="1262">
        <f t="shared" si="49"/>
        <v>0</v>
      </c>
      <c r="V79" s="1262"/>
      <c r="W79" s="1262"/>
      <c r="X79" s="1309">
        <v>0</v>
      </c>
      <c r="Y79" s="1299">
        <f t="shared" si="46"/>
        <v>0</v>
      </c>
      <c r="Z79" s="1276"/>
      <c r="AA79" s="1259"/>
      <c r="AB79" s="1259">
        <v>0</v>
      </c>
      <c r="AC79" s="117"/>
      <c r="AD79" s="117"/>
      <c r="AE79" s="637">
        <f t="shared" si="53"/>
        <v>0</v>
      </c>
      <c r="AF79" s="619"/>
      <c r="AG79" s="619"/>
      <c r="AH79" s="280">
        <v>0</v>
      </c>
      <c r="AI79" s="872">
        <f t="shared" si="54"/>
        <v>0</v>
      </c>
      <c r="AJ79" s="872"/>
      <c r="AK79" s="872"/>
      <c r="AL79" s="945"/>
      <c r="AM79" s="872">
        <f t="shared" si="55"/>
        <v>0</v>
      </c>
      <c r="AN79" s="872"/>
      <c r="AO79" s="872"/>
      <c r="AP79" s="872">
        <v>0</v>
      </c>
      <c r="AQ79" s="872">
        <f t="shared" si="56"/>
        <v>0</v>
      </c>
      <c r="AR79" s="872"/>
      <c r="AS79" s="872"/>
      <c r="AT79" s="872"/>
    </row>
    <row r="80" spans="1:46" ht="109.5" customHeight="1" x14ac:dyDescent="0.2">
      <c r="A80" s="88" t="s">
        <v>315</v>
      </c>
      <c r="B80" s="89" t="s">
        <v>726</v>
      </c>
      <c r="C80" s="102" t="s">
        <v>184</v>
      </c>
      <c r="D80" s="89"/>
      <c r="E80" s="187">
        <f t="shared" si="50"/>
        <v>1642.3000000000002</v>
      </c>
      <c r="F80" s="187">
        <f t="shared" si="57"/>
        <v>0</v>
      </c>
      <c r="G80" s="187">
        <f t="shared" si="57"/>
        <v>0</v>
      </c>
      <c r="H80" s="187">
        <f t="shared" si="51"/>
        <v>1642.3000000000002</v>
      </c>
      <c r="I80" s="1257">
        <f t="shared" si="52"/>
        <v>181.6</v>
      </c>
      <c r="J80" s="1257"/>
      <c r="K80" s="1282"/>
      <c r="L80" s="1258">
        <v>181.6</v>
      </c>
      <c r="M80" s="1259">
        <f t="shared" si="47"/>
        <v>181.6</v>
      </c>
      <c r="N80" s="1259"/>
      <c r="O80" s="1259"/>
      <c r="P80" s="1259">
        <v>181.6</v>
      </c>
      <c r="Q80" s="1262">
        <f t="shared" si="48"/>
        <v>181.6</v>
      </c>
      <c r="R80" s="1262"/>
      <c r="S80" s="1262"/>
      <c r="T80" s="1262">
        <v>181.6</v>
      </c>
      <c r="U80" s="1262">
        <f t="shared" si="49"/>
        <v>67</v>
      </c>
      <c r="V80" s="1279"/>
      <c r="W80" s="1279"/>
      <c r="X80" s="1309">
        <f>181.6-114.6</f>
        <v>67</v>
      </c>
      <c r="Y80" s="1299">
        <f t="shared" si="46"/>
        <v>298.7</v>
      </c>
      <c r="Z80" s="1276"/>
      <c r="AA80" s="1272"/>
      <c r="AB80" s="1272">
        <f>181.6+117.1</f>
        <v>298.7</v>
      </c>
      <c r="AC80" s="117"/>
      <c r="AD80" s="117"/>
      <c r="AE80" s="637">
        <f t="shared" si="53"/>
        <v>181.6</v>
      </c>
      <c r="AF80" s="619"/>
      <c r="AG80" s="619"/>
      <c r="AH80" s="280">
        <v>181.6</v>
      </c>
      <c r="AI80" s="872">
        <f t="shared" si="54"/>
        <v>183.4</v>
      </c>
      <c r="AJ80" s="872"/>
      <c r="AK80" s="872"/>
      <c r="AL80" s="945">
        <v>183.4</v>
      </c>
      <c r="AM80" s="872">
        <f t="shared" si="55"/>
        <v>183.4</v>
      </c>
      <c r="AN80" s="872"/>
      <c r="AO80" s="872"/>
      <c r="AP80" s="872">
        <v>183.4</v>
      </c>
      <c r="AQ80" s="872">
        <f t="shared" si="56"/>
        <v>183.4</v>
      </c>
      <c r="AR80" s="872"/>
      <c r="AS80" s="872"/>
      <c r="AT80" s="872">
        <v>183.4</v>
      </c>
    </row>
    <row r="81" spans="1:46" ht="58.5" customHeight="1" x14ac:dyDescent="0.2">
      <c r="A81" s="88" t="s">
        <v>316</v>
      </c>
      <c r="B81" s="89" t="s">
        <v>226</v>
      </c>
      <c r="C81" s="89" t="s">
        <v>184</v>
      </c>
      <c r="D81" s="89"/>
      <c r="E81" s="187">
        <f t="shared" si="50"/>
        <v>273.39400000000001</v>
      </c>
      <c r="F81" s="187">
        <f t="shared" si="57"/>
        <v>0</v>
      </c>
      <c r="G81" s="187">
        <f t="shared" si="57"/>
        <v>0</v>
      </c>
      <c r="H81" s="187">
        <f t="shared" si="51"/>
        <v>273.39400000000001</v>
      </c>
      <c r="I81" s="1257">
        <f t="shared" si="52"/>
        <v>40.4</v>
      </c>
      <c r="J81" s="1257"/>
      <c r="K81" s="1257"/>
      <c r="L81" s="1298">
        <v>40.4</v>
      </c>
      <c r="M81" s="1259">
        <f t="shared" si="47"/>
        <v>40.4</v>
      </c>
      <c r="N81" s="1259"/>
      <c r="O81" s="1349"/>
      <c r="P81" s="1260">
        <v>40.4</v>
      </c>
      <c r="Q81" s="1262">
        <f t="shared" si="48"/>
        <v>40.4</v>
      </c>
      <c r="R81" s="1262"/>
      <c r="S81" s="1262"/>
      <c r="T81" s="1262">
        <v>40.4</v>
      </c>
      <c r="U81" s="1262">
        <f t="shared" si="49"/>
        <v>71.394000000000005</v>
      </c>
      <c r="V81" s="1279"/>
      <c r="W81" s="1279"/>
      <c r="X81" s="1309">
        <f>57.723+13.671</f>
        <v>71.394000000000005</v>
      </c>
      <c r="Y81" s="1299">
        <f t="shared" si="46"/>
        <v>40.4</v>
      </c>
      <c r="Z81" s="1276"/>
      <c r="AA81" s="1272"/>
      <c r="AB81" s="1272">
        <v>40.4</v>
      </c>
      <c r="AC81" s="117"/>
      <c r="AD81" s="117"/>
      <c r="AE81" s="637">
        <f t="shared" si="53"/>
        <v>40.4</v>
      </c>
      <c r="AF81" s="619"/>
      <c r="AG81" s="619"/>
      <c r="AH81" s="636">
        <v>40.4</v>
      </c>
      <c r="AI81" s="872">
        <f t="shared" si="54"/>
        <v>0</v>
      </c>
      <c r="AJ81" s="872"/>
      <c r="AK81" s="872"/>
      <c r="AL81" s="945">
        <v>0</v>
      </c>
      <c r="AM81" s="876">
        <f t="shared" si="55"/>
        <v>0</v>
      </c>
      <c r="AN81" s="876"/>
      <c r="AO81" s="876"/>
      <c r="AP81" s="876"/>
      <c r="AQ81" s="876">
        <f t="shared" si="56"/>
        <v>0</v>
      </c>
      <c r="AR81" s="876"/>
      <c r="AS81" s="876"/>
      <c r="AT81" s="876">
        <v>0</v>
      </c>
    </row>
    <row r="82" spans="1:46" ht="36" customHeight="1" x14ac:dyDescent="0.2">
      <c r="A82" s="231" t="s">
        <v>317</v>
      </c>
      <c r="B82" s="148" t="s">
        <v>227</v>
      </c>
      <c r="C82" s="89" t="s">
        <v>184</v>
      </c>
      <c r="D82" s="90"/>
      <c r="E82" s="187">
        <f t="shared" si="50"/>
        <v>819.00599999999997</v>
      </c>
      <c r="F82" s="187">
        <f t="shared" si="57"/>
        <v>0</v>
      </c>
      <c r="G82" s="187">
        <f t="shared" si="57"/>
        <v>0</v>
      </c>
      <c r="H82" s="187">
        <f t="shared" si="51"/>
        <v>819.00599999999997</v>
      </c>
      <c r="I82" s="1257">
        <f t="shared" si="52"/>
        <v>100</v>
      </c>
      <c r="J82" s="1329"/>
      <c r="K82" s="1329"/>
      <c r="L82" s="1330">
        <v>100</v>
      </c>
      <c r="M82" s="1259">
        <f t="shared" si="47"/>
        <v>75</v>
      </c>
      <c r="N82" s="1259"/>
      <c r="O82" s="1349"/>
      <c r="P82" s="1260">
        <v>75</v>
      </c>
      <c r="Q82" s="1262">
        <f t="shared" si="48"/>
        <v>75</v>
      </c>
      <c r="R82" s="1262"/>
      <c r="S82" s="1262"/>
      <c r="T82" s="1262">
        <v>75</v>
      </c>
      <c r="U82" s="1262">
        <f t="shared" si="49"/>
        <v>69.006</v>
      </c>
      <c r="V82" s="1262"/>
      <c r="W82" s="1262"/>
      <c r="X82" s="1309">
        <f>82.677-13.671</f>
        <v>69.006</v>
      </c>
      <c r="Y82" s="1299">
        <f t="shared" si="46"/>
        <v>100</v>
      </c>
      <c r="Z82" s="1276"/>
      <c r="AA82" s="1259"/>
      <c r="AB82" s="1259">
        <v>100</v>
      </c>
      <c r="AC82" s="117"/>
      <c r="AD82" s="117"/>
      <c r="AE82" s="637">
        <f t="shared" si="53"/>
        <v>100</v>
      </c>
      <c r="AF82" s="619"/>
      <c r="AG82" s="619"/>
      <c r="AH82" s="280">
        <v>100</v>
      </c>
      <c r="AI82" s="872">
        <f t="shared" si="54"/>
        <v>100</v>
      </c>
      <c r="AJ82" s="872"/>
      <c r="AK82" s="872"/>
      <c r="AL82" s="945">
        <v>100</v>
      </c>
      <c r="AM82" s="876">
        <f t="shared" si="55"/>
        <v>100</v>
      </c>
      <c r="AN82" s="876"/>
      <c r="AO82" s="876"/>
      <c r="AP82" s="876">
        <v>100</v>
      </c>
      <c r="AQ82" s="876">
        <f t="shared" si="56"/>
        <v>100</v>
      </c>
      <c r="AR82" s="876"/>
      <c r="AS82" s="876"/>
      <c r="AT82" s="876">
        <v>100</v>
      </c>
    </row>
    <row r="83" spans="1:46" ht="64.150000000000006" hidden="1" customHeight="1" x14ac:dyDescent="0.2">
      <c r="A83" s="231"/>
      <c r="B83" s="148"/>
      <c r="C83" s="89"/>
      <c r="D83" s="90"/>
      <c r="E83" s="187">
        <f t="shared" si="50"/>
        <v>0</v>
      </c>
      <c r="F83" s="187">
        <f>J83+N83+R83+V83</f>
        <v>0</v>
      </c>
      <c r="G83" s="189"/>
      <c r="H83" s="187">
        <f t="shared" si="51"/>
        <v>0</v>
      </c>
      <c r="I83" s="1257">
        <f t="shared" si="52"/>
        <v>0</v>
      </c>
      <c r="J83" s="1329"/>
      <c r="K83" s="1329"/>
      <c r="L83" s="1330"/>
      <c r="M83" s="1259">
        <f t="shared" si="47"/>
        <v>0</v>
      </c>
      <c r="N83" s="1259"/>
      <c r="O83" s="1349"/>
      <c r="P83" s="1260"/>
      <c r="Q83" s="1262">
        <f t="shared" si="48"/>
        <v>0</v>
      </c>
      <c r="R83" s="1262"/>
      <c r="S83" s="1262"/>
      <c r="T83" s="1262"/>
      <c r="U83" s="1262"/>
      <c r="V83" s="1262"/>
      <c r="W83" s="1262"/>
      <c r="X83" s="1273"/>
      <c r="Y83" s="1276"/>
      <c r="Z83" s="1276"/>
      <c r="AA83" s="1259"/>
      <c r="AB83" s="1259"/>
      <c r="AC83" s="117"/>
      <c r="AD83" s="117"/>
      <c r="AE83" s="637">
        <f t="shared" si="53"/>
        <v>0</v>
      </c>
      <c r="AF83" s="619"/>
      <c r="AG83" s="619"/>
      <c r="AH83" s="776"/>
      <c r="AI83" s="784"/>
      <c r="AJ83" s="784"/>
      <c r="AK83" s="784"/>
      <c r="AL83" s="944"/>
      <c r="AM83" s="951"/>
      <c r="AN83" s="951"/>
      <c r="AO83" s="951"/>
      <c r="AP83" s="951"/>
      <c r="AQ83" s="951"/>
      <c r="AR83" s="951"/>
      <c r="AS83" s="951"/>
      <c r="AT83" s="951"/>
    </row>
    <row r="84" spans="1:46" ht="51.75" customHeight="1" x14ac:dyDescent="0.2">
      <c r="A84" s="231" t="s">
        <v>723</v>
      </c>
      <c r="B84" s="148" t="s">
        <v>725</v>
      </c>
      <c r="C84" s="89" t="s">
        <v>454</v>
      </c>
      <c r="D84" s="90"/>
      <c r="E84" s="187">
        <f t="shared" si="50"/>
        <v>46</v>
      </c>
      <c r="F84" s="187"/>
      <c r="G84" s="189"/>
      <c r="H84" s="187">
        <f t="shared" si="51"/>
        <v>46</v>
      </c>
      <c r="I84" s="1257"/>
      <c r="J84" s="1329"/>
      <c r="K84" s="1329"/>
      <c r="L84" s="1330"/>
      <c r="M84" s="1259"/>
      <c r="N84" s="1259"/>
      <c r="O84" s="1349"/>
      <c r="P84" s="1260"/>
      <c r="Q84" s="1262"/>
      <c r="R84" s="1262"/>
      <c r="S84" s="1262"/>
      <c r="T84" s="1262"/>
      <c r="U84" s="1262"/>
      <c r="V84" s="1262"/>
      <c r="W84" s="1262"/>
      <c r="X84" s="1273"/>
      <c r="Y84" s="1276"/>
      <c r="Z84" s="1276"/>
      <c r="AA84" s="1259"/>
      <c r="AB84" s="1259"/>
      <c r="AC84" s="117"/>
      <c r="AD84" s="117"/>
      <c r="AE84" s="637">
        <f t="shared" si="53"/>
        <v>46</v>
      </c>
      <c r="AF84" s="619"/>
      <c r="AG84" s="619"/>
      <c r="AH84" s="1458">
        <v>46</v>
      </c>
      <c r="AI84" s="784"/>
      <c r="AJ84" s="784"/>
      <c r="AK84" s="784"/>
      <c r="AL84" s="944"/>
      <c r="AM84" s="951"/>
      <c r="AN84" s="951"/>
      <c r="AO84" s="951"/>
      <c r="AP84" s="951"/>
      <c r="AQ84" s="951"/>
      <c r="AR84" s="951"/>
      <c r="AS84" s="951"/>
      <c r="AT84" s="951"/>
    </row>
    <row r="85" spans="1:46" ht="35.450000000000003" customHeight="1" x14ac:dyDescent="0.2">
      <c r="A85" s="85" t="s">
        <v>191</v>
      </c>
      <c r="B85" s="105" t="s">
        <v>228</v>
      </c>
      <c r="C85" s="106"/>
      <c r="D85" s="107" t="s">
        <v>7</v>
      </c>
      <c r="E85" s="185">
        <f>F85+G85+H85</f>
        <v>1908.5</v>
      </c>
      <c r="F85" s="185">
        <f>J85+N85+R85+V85+Z85+AF85+AJ85</f>
        <v>0</v>
      </c>
      <c r="G85" s="185">
        <f>K85+O85+S85+W85+AA85+AG85+AK85</f>
        <v>0</v>
      </c>
      <c r="H85" s="185">
        <f>L85+P85+T85+X85+AB85+AH85+AL85+AP85+AT85</f>
        <v>1908.5</v>
      </c>
      <c r="I85" s="1350">
        <f t="shared" si="52"/>
        <v>186.6</v>
      </c>
      <c r="J85" s="1350">
        <f>J86</f>
        <v>0</v>
      </c>
      <c r="K85" s="1350">
        <f>K86</f>
        <v>0</v>
      </c>
      <c r="L85" s="1350">
        <f>L86</f>
        <v>186.6</v>
      </c>
      <c r="M85" s="1350">
        <f t="shared" si="47"/>
        <v>175</v>
      </c>
      <c r="N85" s="1350">
        <f>N86</f>
        <v>0</v>
      </c>
      <c r="O85" s="1350">
        <f>O86</f>
        <v>0</v>
      </c>
      <c r="P85" s="1350">
        <f>P86</f>
        <v>175</v>
      </c>
      <c r="Q85" s="1350">
        <f t="shared" si="48"/>
        <v>257</v>
      </c>
      <c r="R85" s="1350">
        <f>R86</f>
        <v>0</v>
      </c>
      <c r="S85" s="1350">
        <f>S86</f>
        <v>0</v>
      </c>
      <c r="T85" s="1350">
        <f>T86</f>
        <v>257</v>
      </c>
      <c r="U85" s="1348">
        <f t="shared" si="49"/>
        <v>314.89999999999998</v>
      </c>
      <c r="V85" s="1348">
        <f>V86</f>
        <v>0</v>
      </c>
      <c r="W85" s="1348">
        <f>W86</f>
        <v>0</v>
      </c>
      <c r="X85" s="1351">
        <f>X86</f>
        <v>314.89999999999998</v>
      </c>
      <c r="Y85" s="1348">
        <f>Z85+AA85+AB85</f>
        <v>235</v>
      </c>
      <c r="Z85" s="1348">
        <f>Z86</f>
        <v>0</v>
      </c>
      <c r="AA85" s="1348">
        <f>AA86</f>
        <v>0</v>
      </c>
      <c r="AB85" s="1348">
        <f>AB86</f>
        <v>235</v>
      </c>
      <c r="AC85" s="707"/>
      <c r="AD85" s="707"/>
      <c r="AE85" s="185">
        <f>AF85+AG85+AH85</f>
        <v>185</v>
      </c>
      <c r="AF85" s="185">
        <f>AF86</f>
        <v>0</v>
      </c>
      <c r="AG85" s="185">
        <f>AG86</f>
        <v>0</v>
      </c>
      <c r="AH85" s="195">
        <f>AH86</f>
        <v>185</v>
      </c>
      <c r="AI85" s="873">
        <f>AJ85+AK85+AL85</f>
        <v>185</v>
      </c>
      <c r="AJ85" s="873"/>
      <c r="AK85" s="873"/>
      <c r="AL85" s="1434">
        <f>AL87+AL88</f>
        <v>185</v>
      </c>
      <c r="AM85" s="873">
        <f t="shared" ref="AM85:AM96" si="58">AN85+AO85+AP85</f>
        <v>185</v>
      </c>
      <c r="AN85" s="873"/>
      <c r="AO85" s="873"/>
      <c r="AP85" s="873">
        <f>AP87+AP88</f>
        <v>185</v>
      </c>
      <c r="AQ85" s="873">
        <f t="shared" ref="AQ85:AQ106" si="59">AR85+AS85+AT85</f>
        <v>185</v>
      </c>
      <c r="AR85" s="873"/>
      <c r="AS85" s="873"/>
      <c r="AT85" s="873">
        <f>AT87+AT88</f>
        <v>185</v>
      </c>
    </row>
    <row r="86" spans="1:46" ht="1.1499999999999999" hidden="1" customHeight="1" x14ac:dyDescent="0.2">
      <c r="A86" s="123" t="s">
        <v>229</v>
      </c>
      <c r="B86" s="127" t="s">
        <v>257</v>
      </c>
      <c r="C86" s="121"/>
      <c r="D86" s="122"/>
      <c r="E86" s="194">
        <f>F86+G86+H86</f>
        <v>1353.5</v>
      </c>
      <c r="F86" s="194">
        <f>J86+N86+R86+V86+Z86</f>
        <v>0</v>
      </c>
      <c r="G86" s="194">
        <f>K86+O86+S86+W86+AA86</f>
        <v>0</v>
      </c>
      <c r="H86" s="197">
        <f>L86+P86+T86+X86+AB86+AH86</f>
        <v>1353.5</v>
      </c>
      <c r="I86" s="1346">
        <f>J86+K86+L86</f>
        <v>186.6</v>
      </c>
      <c r="J86" s="1346">
        <f>J87+J88</f>
        <v>0</v>
      </c>
      <c r="K86" s="1346">
        <f>K87+K88</f>
        <v>0</v>
      </c>
      <c r="L86" s="1346">
        <f>L87+L88</f>
        <v>186.6</v>
      </c>
      <c r="M86" s="1346">
        <f t="shared" si="47"/>
        <v>175</v>
      </c>
      <c r="N86" s="1346">
        <f>N87+N88</f>
        <v>0</v>
      </c>
      <c r="O86" s="1346">
        <f>O87+O88</f>
        <v>0</v>
      </c>
      <c r="P86" s="1346">
        <f>P87+P88</f>
        <v>175</v>
      </c>
      <c r="Q86" s="1346">
        <f t="shared" si="48"/>
        <v>257</v>
      </c>
      <c r="R86" s="1346">
        <f>R87+R88</f>
        <v>0</v>
      </c>
      <c r="S86" s="1346">
        <f>S87+S88</f>
        <v>0</v>
      </c>
      <c r="T86" s="1346">
        <f>T87+T88</f>
        <v>257</v>
      </c>
      <c r="U86" s="1347">
        <f t="shared" si="49"/>
        <v>314.89999999999998</v>
      </c>
      <c r="V86" s="1347">
        <f>V87+V88</f>
        <v>0</v>
      </c>
      <c r="W86" s="1347">
        <f>W87+W88</f>
        <v>0</v>
      </c>
      <c r="X86" s="1301">
        <f>X87+X88</f>
        <v>314.89999999999998</v>
      </c>
      <c r="Y86" s="1299">
        <f>Z86+AA86+AB86</f>
        <v>235</v>
      </c>
      <c r="Z86" s="1299">
        <f>Z87+Z88</f>
        <v>0</v>
      </c>
      <c r="AA86" s="1299">
        <f>AA87+AA88</f>
        <v>0</v>
      </c>
      <c r="AB86" s="1299">
        <f>AB87+AB88</f>
        <v>235</v>
      </c>
      <c r="AC86" s="117"/>
      <c r="AD86" s="117"/>
      <c r="AE86" s="187">
        <f>AF86+AG86+AH86</f>
        <v>185</v>
      </c>
      <c r="AF86" s="187">
        <f>AF87+AF88</f>
        <v>0</v>
      </c>
      <c r="AG86" s="187">
        <f>AG87+AG88</f>
        <v>0</v>
      </c>
      <c r="AH86" s="193">
        <f>AH87+AH88</f>
        <v>185</v>
      </c>
      <c r="AI86" s="784"/>
      <c r="AJ86" s="784"/>
      <c r="AK86" s="784"/>
      <c r="AL86" s="944"/>
      <c r="AM86" s="872">
        <f t="shared" si="58"/>
        <v>0</v>
      </c>
      <c r="AN86" s="872"/>
      <c r="AO86" s="872"/>
      <c r="AP86" s="872"/>
      <c r="AQ86" s="872">
        <f t="shared" si="59"/>
        <v>0</v>
      </c>
      <c r="AR86" s="872"/>
      <c r="AS86" s="872"/>
      <c r="AT86" s="872"/>
    </row>
    <row r="87" spans="1:46" ht="72" x14ac:dyDescent="0.2">
      <c r="A87" s="88" t="s">
        <v>229</v>
      </c>
      <c r="B87" s="74" t="s">
        <v>230</v>
      </c>
      <c r="C87" s="89" t="s">
        <v>50</v>
      </c>
      <c r="D87" s="108"/>
      <c r="E87" s="187">
        <f>F87+G87+H87</f>
        <v>370</v>
      </c>
      <c r="F87" s="187">
        <f>J87+N87+R87+V87+Z87+AF87+AJ87</f>
        <v>0</v>
      </c>
      <c r="G87" s="187">
        <f>K87+O87+S87+W87+AA87+AG87+AK87</f>
        <v>0</v>
      </c>
      <c r="H87" s="187">
        <f>L87+P87+T87+X87+AB87+AH87+AL87+AP87+AT87</f>
        <v>370</v>
      </c>
      <c r="I87" s="1257">
        <f>J87+K87+L87</f>
        <v>0</v>
      </c>
      <c r="J87" s="1352"/>
      <c r="K87" s="1352"/>
      <c r="L87" s="1353">
        <v>0</v>
      </c>
      <c r="M87" s="1259">
        <f>N87+O87+P87</f>
        <v>50</v>
      </c>
      <c r="N87" s="1259"/>
      <c r="O87" s="1354"/>
      <c r="P87" s="1259">
        <v>50</v>
      </c>
      <c r="Q87" s="1262">
        <f>R87+S87+T87</f>
        <v>50</v>
      </c>
      <c r="R87" s="1262"/>
      <c r="S87" s="1262"/>
      <c r="T87" s="1262">
        <v>50</v>
      </c>
      <c r="U87" s="1262">
        <f>V87+W87+X87</f>
        <v>50</v>
      </c>
      <c r="V87" s="1262"/>
      <c r="W87" s="1262"/>
      <c r="X87" s="1273">
        <v>50</v>
      </c>
      <c r="Y87" s="1261">
        <f>Z87+AA87+AB87</f>
        <v>50</v>
      </c>
      <c r="Z87" s="1276"/>
      <c r="AA87" s="1259"/>
      <c r="AB87" s="1259">
        <f>50</f>
        <v>50</v>
      </c>
      <c r="AC87" s="117"/>
      <c r="AD87" s="117"/>
      <c r="AE87" s="637">
        <f t="shared" ref="AE87:AE116" si="60">AF87+AG87+AH87</f>
        <v>50</v>
      </c>
      <c r="AF87" s="619"/>
      <c r="AG87" s="619"/>
      <c r="AH87" s="280">
        <v>50</v>
      </c>
      <c r="AI87" s="784">
        <f>AJ87+AK87+AL87</f>
        <v>40</v>
      </c>
      <c r="AJ87" s="784"/>
      <c r="AK87" s="784"/>
      <c r="AL87" s="942">
        <v>40</v>
      </c>
      <c r="AM87" s="876">
        <f t="shared" si="58"/>
        <v>40</v>
      </c>
      <c r="AN87" s="876"/>
      <c r="AO87" s="876"/>
      <c r="AP87" s="876">
        <v>40</v>
      </c>
      <c r="AQ87" s="876">
        <f t="shared" si="59"/>
        <v>40</v>
      </c>
      <c r="AR87" s="876"/>
      <c r="AS87" s="876"/>
      <c r="AT87" s="876">
        <v>40</v>
      </c>
    </row>
    <row r="88" spans="1:46" ht="54.75" customHeight="1" thickBot="1" x14ac:dyDescent="0.25">
      <c r="A88" s="88" t="s">
        <v>318</v>
      </c>
      <c r="B88" s="108" t="s">
        <v>9</v>
      </c>
      <c r="C88" s="89" t="s">
        <v>199</v>
      </c>
      <c r="D88" s="108"/>
      <c r="E88" s="187">
        <f>F88+G88+H88</f>
        <v>1538.5</v>
      </c>
      <c r="F88" s="187">
        <f>J88+N88+R88+V88+Z88+AF88+AJ88</f>
        <v>0</v>
      </c>
      <c r="G88" s="187">
        <f>K88+O88+S88+W88+AA88+AG88+AK88</f>
        <v>0</v>
      </c>
      <c r="H88" s="187">
        <f>L88+P88+T88+X88+AB88+AH88+AL88+AP88+AT88</f>
        <v>1538.5</v>
      </c>
      <c r="I88" s="1257">
        <f>J88+K88+L88</f>
        <v>186.6</v>
      </c>
      <c r="J88" s="1355"/>
      <c r="K88" s="1352"/>
      <c r="L88" s="1353">
        <v>186.6</v>
      </c>
      <c r="M88" s="1259">
        <f>N88+O88+P88</f>
        <v>125</v>
      </c>
      <c r="N88" s="1259"/>
      <c r="O88" s="1354"/>
      <c r="P88" s="1259">
        <v>125</v>
      </c>
      <c r="Q88" s="1262">
        <f>R88+S88+T88</f>
        <v>207</v>
      </c>
      <c r="R88" s="1262"/>
      <c r="S88" s="1262"/>
      <c r="T88" s="1262">
        <v>207</v>
      </c>
      <c r="U88" s="1262">
        <f>V88+W88+X88</f>
        <v>264.89999999999998</v>
      </c>
      <c r="V88" s="1262"/>
      <c r="W88" s="1259"/>
      <c r="X88" s="1273">
        <v>264.89999999999998</v>
      </c>
      <c r="Y88" s="1261">
        <f>Z88+AA88+AB88</f>
        <v>185</v>
      </c>
      <c r="Z88" s="1276"/>
      <c r="AA88" s="1259"/>
      <c r="AB88" s="1259">
        <f>135+50</f>
        <v>185</v>
      </c>
      <c r="AC88" s="117"/>
      <c r="AD88" s="117"/>
      <c r="AE88" s="637">
        <f t="shared" si="60"/>
        <v>135</v>
      </c>
      <c r="AF88" s="619"/>
      <c r="AG88" s="619"/>
      <c r="AH88" s="280">
        <v>135</v>
      </c>
      <c r="AI88" s="784">
        <f>AJ88+AK88+AL88</f>
        <v>145</v>
      </c>
      <c r="AJ88" s="784"/>
      <c r="AK88" s="784"/>
      <c r="AL88" s="942">
        <v>145</v>
      </c>
      <c r="AM88" s="876">
        <f t="shared" si="58"/>
        <v>145</v>
      </c>
      <c r="AN88" s="876"/>
      <c r="AO88" s="876"/>
      <c r="AP88" s="876">
        <v>145</v>
      </c>
      <c r="AQ88" s="876">
        <f t="shared" si="59"/>
        <v>145</v>
      </c>
      <c r="AR88" s="876"/>
      <c r="AS88" s="876"/>
      <c r="AT88" s="876">
        <v>145</v>
      </c>
    </row>
    <row r="89" spans="1:46" ht="38.25" customHeight="1" x14ac:dyDescent="0.2">
      <c r="A89" s="81"/>
      <c r="B89" s="708" t="s">
        <v>200</v>
      </c>
      <c r="C89" s="709"/>
      <c r="D89" s="710" t="s">
        <v>7</v>
      </c>
      <c r="E89" s="184">
        <f>F89+G89+H89</f>
        <v>1563.63546</v>
      </c>
      <c r="F89" s="184">
        <f>J89+N89+R89+V89+Z89+AF89+AJ89+AN89+AR89</f>
        <v>0</v>
      </c>
      <c r="G89" s="184">
        <f>K89+O89+S89+W89+AA89+AG89+AK89+AO89+AS89</f>
        <v>0</v>
      </c>
      <c r="H89" s="184">
        <f>L89+P89+T89+X89+AB89+AH89+AL89+AP89+AT89</f>
        <v>1563.63546</v>
      </c>
      <c r="I89" s="1244">
        <f>J89+K89+L89</f>
        <v>120</v>
      </c>
      <c r="J89" s="1244">
        <f t="shared" ref="J89:L90" si="61">J90</f>
        <v>0</v>
      </c>
      <c r="K89" s="1244">
        <f t="shared" si="61"/>
        <v>0</v>
      </c>
      <c r="L89" s="1244">
        <f t="shared" si="61"/>
        <v>120</v>
      </c>
      <c r="M89" s="1244">
        <f>N89+O89+P89</f>
        <v>90</v>
      </c>
      <c r="N89" s="1244">
        <f t="shared" ref="N89:P90" si="62">N90</f>
        <v>0</v>
      </c>
      <c r="O89" s="1244">
        <f t="shared" si="62"/>
        <v>0</v>
      </c>
      <c r="P89" s="1244">
        <f t="shared" si="62"/>
        <v>90</v>
      </c>
      <c r="Q89" s="1244">
        <f>R89+S89+T89</f>
        <v>90</v>
      </c>
      <c r="R89" s="1244">
        <f t="shared" ref="R89:T90" si="63">R90</f>
        <v>0</v>
      </c>
      <c r="S89" s="1244">
        <f t="shared" si="63"/>
        <v>0</v>
      </c>
      <c r="T89" s="1244">
        <f t="shared" si="63"/>
        <v>90</v>
      </c>
      <c r="U89" s="1245">
        <f>V89+W89+X89</f>
        <v>120.06846</v>
      </c>
      <c r="V89" s="1245">
        <f t="shared" ref="V89:X90" si="64">V90</f>
        <v>0</v>
      </c>
      <c r="W89" s="1245">
        <f t="shared" si="64"/>
        <v>0</v>
      </c>
      <c r="X89" s="1284">
        <f t="shared" si="64"/>
        <v>120.06846</v>
      </c>
      <c r="Y89" s="1245">
        <f>Z89+AA89+AB89</f>
        <v>181.86699999999999</v>
      </c>
      <c r="Z89" s="1245">
        <f t="shared" ref="Z89:AB90" si="65">Z90</f>
        <v>0</v>
      </c>
      <c r="AA89" s="1245">
        <f t="shared" si="65"/>
        <v>0</v>
      </c>
      <c r="AB89" s="1245">
        <f t="shared" si="65"/>
        <v>181.86699999999999</v>
      </c>
      <c r="AC89" s="711"/>
      <c r="AD89" s="711"/>
      <c r="AE89" s="703">
        <f t="shared" si="60"/>
        <v>187.7</v>
      </c>
      <c r="AF89" s="184">
        <f t="shared" ref="AF89:AH90" si="66">AF90</f>
        <v>0</v>
      </c>
      <c r="AG89" s="184">
        <f t="shared" si="66"/>
        <v>0</v>
      </c>
      <c r="AH89" s="701">
        <f t="shared" si="66"/>
        <v>187.7</v>
      </c>
      <c r="AI89" s="1430">
        <f>AJ89+AK89+AL89</f>
        <v>258</v>
      </c>
      <c r="AJ89" s="1430"/>
      <c r="AK89" s="1430"/>
      <c r="AL89" s="1542">
        <f>AL90</f>
        <v>258</v>
      </c>
      <c r="AM89" s="730">
        <f t="shared" si="58"/>
        <v>258</v>
      </c>
      <c r="AN89" s="1430">
        <f>AN90</f>
        <v>0</v>
      </c>
      <c r="AO89" s="1430">
        <f>AO90</f>
        <v>0</v>
      </c>
      <c r="AP89" s="1430">
        <f>AP90</f>
        <v>258</v>
      </c>
      <c r="AQ89" s="730">
        <f t="shared" si="59"/>
        <v>258</v>
      </c>
      <c r="AR89" s="1430">
        <f>AR90</f>
        <v>0</v>
      </c>
      <c r="AS89" s="1430">
        <f>AS90</f>
        <v>0</v>
      </c>
      <c r="AT89" s="1430">
        <f>AT90</f>
        <v>258</v>
      </c>
    </row>
    <row r="90" spans="1:46" ht="40.9" customHeight="1" x14ac:dyDescent="0.2">
      <c r="A90" s="85" t="s">
        <v>193</v>
      </c>
      <c r="B90" s="267" t="s">
        <v>231</v>
      </c>
      <c r="C90" s="109"/>
      <c r="D90" s="104"/>
      <c r="E90" s="185">
        <f t="shared" ref="E90:E107" si="67">F90+G90+H90</f>
        <v>1563.63546</v>
      </c>
      <c r="F90" s="185">
        <f>J90+N90+R90+V90+Z90+AF90+AJ90+AN90+AR90</f>
        <v>0</v>
      </c>
      <c r="G90" s="185">
        <f>K90+O90+S90+W90+AA90+AG90+AK90+AO90+AS90</f>
        <v>0</v>
      </c>
      <c r="H90" s="185">
        <f>L90+P90+T90+X90+AB90+AH90+AL90+AP90+AT90</f>
        <v>1563.63546</v>
      </c>
      <c r="I90" s="1350">
        <f>I91</f>
        <v>120</v>
      </c>
      <c r="J90" s="1350">
        <f t="shared" si="61"/>
        <v>0</v>
      </c>
      <c r="K90" s="1350">
        <f t="shared" si="61"/>
        <v>0</v>
      </c>
      <c r="L90" s="1350">
        <f t="shared" si="61"/>
        <v>120</v>
      </c>
      <c r="M90" s="1350">
        <f>M91</f>
        <v>90</v>
      </c>
      <c r="N90" s="1350">
        <f t="shared" si="62"/>
        <v>0</v>
      </c>
      <c r="O90" s="1350">
        <f t="shared" si="62"/>
        <v>0</v>
      </c>
      <c r="P90" s="1350">
        <f t="shared" si="62"/>
        <v>90</v>
      </c>
      <c r="Q90" s="1350">
        <f>Q91</f>
        <v>90</v>
      </c>
      <c r="R90" s="1350">
        <f t="shared" si="63"/>
        <v>0</v>
      </c>
      <c r="S90" s="1350">
        <f t="shared" si="63"/>
        <v>0</v>
      </c>
      <c r="T90" s="1350">
        <f t="shared" si="63"/>
        <v>90</v>
      </c>
      <c r="U90" s="1348">
        <f>U91</f>
        <v>120.06846</v>
      </c>
      <c r="V90" s="1348">
        <f t="shared" si="64"/>
        <v>0</v>
      </c>
      <c r="W90" s="1348">
        <f t="shared" si="64"/>
        <v>0</v>
      </c>
      <c r="X90" s="1348">
        <f t="shared" si="64"/>
        <v>120.06846</v>
      </c>
      <c r="Y90" s="1348">
        <f>Y91</f>
        <v>181.86699999999999</v>
      </c>
      <c r="Z90" s="1348">
        <f t="shared" si="65"/>
        <v>0</v>
      </c>
      <c r="AA90" s="1348">
        <f t="shared" si="65"/>
        <v>0</v>
      </c>
      <c r="AB90" s="1348">
        <f t="shared" si="65"/>
        <v>181.86699999999999</v>
      </c>
      <c r="AC90" s="707"/>
      <c r="AD90" s="707"/>
      <c r="AE90" s="695">
        <f>AF90+AG90+AH90</f>
        <v>187.7</v>
      </c>
      <c r="AF90" s="185">
        <f t="shared" si="66"/>
        <v>0</v>
      </c>
      <c r="AG90" s="185">
        <f t="shared" si="66"/>
        <v>0</v>
      </c>
      <c r="AH90" s="195">
        <f t="shared" si="66"/>
        <v>187.7</v>
      </c>
      <c r="AI90" s="959">
        <f>AJ90+AK90+AL90</f>
        <v>258</v>
      </c>
      <c r="AJ90" s="959"/>
      <c r="AK90" s="959"/>
      <c r="AL90" s="1435">
        <f>AL92+AL93</f>
        <v>258</v>
      </c>
      <c r="AM90" s="959">
        <f t="shared" si="58"/>
        <v>258</v>
      </c>
      <c r="AN90" s="959">
        <f>AN92+AN93</f>
        <v>0</v>
      </c>
      <c r="AO90" s="959">
        <f>AO92+AO93</f>
        <v>0</v>
      </c>
      <c r="AP90" s="959">
        <f>AP92+AP93</f>
        <v>258</v>
      </c>
      <c r="AQ90" s="959">
        <f t="shared" si="59"/>
        <v>258</v>
      </c>
      <c r="AR90" s="959">
        <f>AR92+AR93</f>
        <v>0</v>
      </c>
      <c r="AS90" s="959">
        <f>AS92+AS93</f>
        <v>0</v>
      </c>
      <c r="AT90" s="959">
        <f>AT92+AT93</f>
        <v>258</v>
      </c>
    </row>
    <row r="91" spans="1:46" s="165" customFormat="1" ht="1.1499999999999999" hidden="1" customHeight="1" x14ac:dyDescent="0.2">
      <c r="A91" s="161" t="s">
        <v>233</v>
      </c>
      <c r="B91" s="162" t="s">
        <v>258</v>
      </c>
      <c r="C91" s="163"/>
      <c r="D91" s="164"/>
      <c r="E91" s="196">
        <f t="shared" si="67"/>
        <v>789.63545999999997</v>
      </c>
      <c r="F91" s="196">
        <f>J91+N91+R91+V91+Z91</f>
        <v>0</v>
      </c>
      <c r="G91" s="196">
        <f>K91+O91+S91+W91+AA91</f>
        <v>0</v>
      </c>
      <c r="H91" s="187">
        <f>L91+P91+T91+X91+AB91+AH91</f>
        <v>789.63545999999997</v>
      </c>
      <c r="I91" s="1356">
        <f t="shared" ref="I91:I109" si="68">J91+K91+L91</f>
        <v>120</v>
      </c>
      <c r="J91" s="1357">
        <f>J92+J93</f>
        <v>0</v>
      </c>
      <c r="K91" s="1357">
        <f>K92+K93</f>
        <v>0</v>
      </c>
      <c r="L91" s="1357">
        <f>L92+L93</f>
        <v>120</v>
      </c>
      <c r="M91" s="1356">
        <f>N91+O91+P91</f>
        <v>90</v>
      </c>
      <c r="N91" s="1357">
        <f>N92+N93</f>
        <v>0</v>
      </c>
      <c r="O91" s="1357">
        <f>O92+O93</f>
        <v>0</v>
      </c>
      <c r="P91" s="1357">
        <f>P92+P93</f>
        <v>90</v>
      </c>
      <c r="Q91" s="1356">
        <f t="shared" ref="Q91:Q116" si="69">R91+S91+T91</f>
        <v>90</v>
      </c>
      <c r="R91" s="1357">
        <f>R92+R93</f>
        <v>0</v>
      </c>
      <c r="S91" s="1357">
        <f>S92+S93</f>
        <v>0</v>
      </c>
      <c r="T91" s="1357">
        <f>T92+T93</f>
        <v>90</v>
      </c>
      <c r="U91" s="1358">
        <f t="shared" ref="U91:U109" si="70">V91+W91+X91</f>
        <v>120.06846</v>
      </c>
      <c r="V91" s="1359">
        <f>V92+V93</f>
        <v>0</v>
      </c>
      <c r="W91" s="1359">
        <f>W92+W93</f>
        <v>0</v>
      </c>
      <c r="X91" s="1360">
        <f>X92+X93</f>
        <v>120.06846</v>
      </c>
      <c r="Y91" s="1361">
        <f t="shared" ref="Y91:Y106" si="71">Z91+AA91+AB91</f>
        <v>181.86699999999999</v>
      </c>
      <c r="Z91" s="1360">
        <f>Z92+Z93</f>
        <v>0</v>
      </c>
      <c r="AA91" s="1360">
        <f>AA92+AA93</f>
        <v>0</v>
      </c>
      <c r="AB91" s="1361">
        <f>AB92+AB93</f>
        <v>181.86699999999999</v>
      </c>
      <c r="AC91" s="117"/>
      <c r="AD91" s="117"/>
      <c r="AE91" s="640">
        <f t="shared" si="60"/>
        <v>187.7</v>
      </c>
      <c r="AF91" s="642">
        <f>AF92+AF93</f>
        <v>0</v>
      </c>
      <c r="AG91" s="642">
        <f>AG92+AG93</f>
        <v>0</v>
      </c>
      <c r="AH91" s="641">
        <f>AH92+AH93</f>
        <v>187.7</v>
      </c>
      <c r="AI91" s="785"/>
      <c r="AJ91" s="785"/>
      <c r="AK91" s="785"/>
      <c r="AL91" s="946"/>
      <c r="AM91" s="959">
        <f t="shared" si="58"/>
        <v>0</v>
      </c>
      <c r="AN91" s="952"/>
      <c r="AO91" s="952"/>
      <c r="AP91" s="952"/>
      <c r="AQ91" s="959">
        <f t="shared" si="59"/>
        <v>0</v>
      </c>
      <c r="AR91" s="952"/>
      <c r="AS91" s="952"/>
      <c r="AT91" s="952"/>
    </row>
    <row r="92" spans="1:46" ht="63.6" customHeight="1" x14ac:dyDescent="0.2">
      <c r="A92" s="88" t="s">
        <v>233</v>
      </c>
      <c r="B92" s="266" t="s">
        <v>232</v>
      </c>
      <c r="C92" s="111" t="s">
        <v>44</v>
      </c>
      <c r="D92" s="110"/>
      <c r="E92" s="187">
        <f t="shared" si="67"/>
        <v>851</v>
      </c>
      <c r="F92" s="187">
        <f>J92+N92+R92+V92+Z92+AF92+AJ92</f>
        <v>0</v>
      </c>
      <c r="G92" s="187">
        <f>K92+O92+S92+W92+AA92+AG92+AK92</f>
        <v>0</v>
      </c>
      <c r="H92" s="187">
        <f>L92+P92+T92+X92+AB92+AH92+AL92+AP92+AT92</f>
        <v>851</v>
      </c>
      <c r="I92" s="1257">
        <f t="shared" si="68"/>
        <v>60</v>
      </c>
      <c r="J92" s="1257"/>
      <c r="K92" s="1362"/>
      <c r="L92" s="1363">
        <v>60</v>
      </c>
      <c r="M92" s="1259">
        <f t="shared" ref="M92:M99" si="72">N92+O92+P92</f>
        <v>45</v>
      </c>
      <c r="N92" s="1259"/>
      <c r="O92" s="1364"/>
      <c r="P92" s="1259">
        <v>45</v>
      </c>
      <c r="Q92" s="1262">
        <f t="shared" si="69"/>
        <v>45</v>
      </c>
      <c r="R92" s="1262"/>
      <c r="S92" s="1262"/>
      <c r="T92" s="1262">
        <v>45</v>
      </c>
      <c r="U92" s="1262">
        <f t="shared" si="70"/>
        <v>45</v>
      </c>
      <c r="V92" s="1262"/>
      <c r="W92" s="1262"/>
      <c r="X92" s="1309">
        <v>45</v>
      </c>
      <c r="Y92" s="1259">
        <f t="shared" si="71"/>
        <v>45</v>
      </c>
      <c r="Z92" s="1259"/>
      <c r="AA92" s="1259"/>
      <c r="AB92" s="1259">
        <v>45</v>
      </c>
      <c r="AC92" s="117"/>
      <c r="AD92" s="117"/>
      <c r="AE92" s="637">
        <f t="shared" si="60"/>
        <v>155</v>
      </c>
      <c r="AF92" s="619"/>
      <c r="AG92" s="619"/>
      <c r="AH92" s="878">
        <f>45+110</f>
        <v>155</v>
      </c>
      <c r="AI92" s="876">
        <f t="shared" ref="AI92:AI108" si="73">AJ92+AK92+AL92</f>
        <v>0</v>
      </c>
      <c r="AJ92" s="874"/>
      <c r="AK92" s="874"/>
      <c r="AL92" s="947">
        <v>0</v>
      </c>
      <c r="AM92" s="886">
        <f t="shared" si="58"/>
        <v>228</v>
      </c>
      <c r="AN92" s="886"/>
      <c r="AO92" s="886"/>
      <c r="AP92" s="886">
        <v>228</v>
      </c>
      <c r="AQ92" s="886">
        <f t="shared" si="59"/>
        <v>228</v>
      </c>
      <c r="AR92" s="886"/>
      <c r="AS92" s="886"/>
      <c r="AT92" s="886">
        <v>228</v>
      </c>
    </row>
    <row r="93" spans="1:46" ht="48" customHeight="1" x14ac:dyDescent="0.25">
      <c r="A93" s="88" t="s">
        <v>319</v>
      </c>
      <c r="B93" s="266" t="s">
        <v>234</v>
      </c>
      <c r="C93" s="111" t="s">
        <v>44</v>
      </c>
      <c r="D93" s="110"/>
      <c r="E93" s="187">
        <f t="shared" si="67"/>
        <v>712.63545999999997</v>
      </c>
      <c r="F93" s="187">
        <f>J93+N93+R93+V93+Z93+AF93+AJ93</f>
        <v>0</v>
      </c>
      <c r="G93" s="187">
        <f>K93+O93+S93+W93+AA93+AG93+AK93</f>
        <v>0</v>
      </c>
      <c r="H93" s="187">
        <f>L93+P93+T93+X93+AB93+AH93+AL93+AP93+AT93</f>
        <v>712.63545999999997</v>
      </c>
      <c r="I93" s="1257">
        <f t="shared" si="68"/>
        <v>60</v>
      </c>
      <c r="J93" s="1257"/>
      <c r="K93" s="1362"/>
      <c r="L93" s="1363">
        <v>60</v>
      </c>
      <c r="M93" s="1259">
        <f t="shared" si="72"/>
        <v>45</v>
      </c>
      <c r="N93" s="1259"/>
      <c r="O93" s="1364"/>
      <c r="P93" s="1259">
        <v>45</v>
      </c>
      <c r="Q93" s="1262">
        <f t="shared" si="69"/>
        <v>45</v>
      </c>
      <c r="R93" s="1262"/>
      <c r="S93" s="1262"/>
      <c r="T93" s="1262">
        <v>45</v>
      </c>
      <c r="U93" s="1262">
        <f t="shared" si="70"/>
        <v>75.068460000000002</v>
      </c>
      <c r="V93" s="1262"/>
      <c r="W93" s="1262"/>
      <c r="X93" s="1309">
        <f>45+30.06846</f>
        <v>75.068460000000002</v>
      </c>
      <c r="Y93" s="1259">
        <f t="shared" si="71"/>
        <v>136.86699999999999</v>
      </c>
      <c r="Z93" s="1259"/>
      <c r="AA93" s="1259"/>
      <c r="AB93" s="1262">
        <f>145-8-0.133</f>
        <v>136.86699999999999</v>
      </c>
      <c r="AC93" s="175"/>
      <c r="AD93" s="175"/>
      <c r="AE93" s="637">
        <f t="shared" si="60"/>
        <v>32.700000000000003</v>
      </c>
      <c r="AF93" s="619"/>
      <c r="AG93" s="619"/>
      <c r="AH93" s="1022">
        <v>32.700000000000003</v>
      </c>
      <c r="AI93" s="876">
        <f t="shared" si="73"/>
        <v>258</v>
      </c>
      <c r="AJ93" s="874"/>
      <c r="AK93" s="874"/>
      <c r="AL93" s="947">
        <v>258</v>
      </c>
      <c r="AM93" s="886">
        <f t="shared" si="58"/>
        <v>30</v>
      </c>
      <c r="AN93" s="886"/>
      <c r="AO93" s="886"/>
      <c r="AP93" s="886">
        <v>30</v>
      </c>
      <c r="AQ93" s="886">
        <f t="shared" si="59"/>
        <v>30</v>
      </c>
      <c r="AR93" s="886"/>
      <c r="AS93" s="886"/>
      <c r="AT93" s="886">
        <v>30</v>
      </c>
    </row>
    <row r="94" spans="1:46" ht="34.5" customHeight="1" x14ac:dyDescent="0.25">
      <c r="A94" s="81"/>
      <c r="B94" s="692" t="s">
        <v>192</v>
      </c>
      <c r="C94" s="706"/>
      <c r="D94" s="706"/>
      <c r="E94" s="184">
        <f>F94+G94+H94</f>
        <v>62445.372660000001</v>
      </c>
      <c r="F94" s="184">
        <f>J94+N94+R94+V94+Z94+AF94+AJ94+AN94+AR94</f>
        <v>0</v>
      </c>
      <c r="G94" s="184">
        <f>K94+O94+S94+W94+AA94+AG94+AK94+AO94+AS94</f>
        <v>21225.137999999999</v>
      </c>
      <c r="H94" s="184">
        <f>L94+P94+T94+X94+AB94+AH94+AL94+AP94+AT94</f>
        <v>41220.234660000002</v>
      </c>
      <c r="I94" s="1244">
        <f t="shared" si="68"/>
        <v>8308.14</v>
      </c>
      <c r="J94" s="1365">
        <f>J95</f>
        <v>0</v>
      </c>
      <c r="K94" s="1365">
        <f>K95</f>
        <v>2007.3</v>
      </c>
      <c r="L94" s="1365">
        <f>L95</f>
        <v>6300.84</v>
      </c>
      <c r="M94" s="1244">
        <f>N94+O94+P94</f>
        <v>6648.76</v>
      </c>
      <c r="N94" s="1365">
        <f>N95</f>
        <v>0</v>
      </c>
      <c r="O94" s="1365">
        <f>O95</f>
        <v>1785.4</v>
      </c>
      <c r="P94" s="1365">
        <f>P95</f>
        <v>4863.3599999999997</v>
      </c>
      <c r="Q94" s="1244">
        <f t="shared" si="69"/>
        <v>6546.1681600000002</v>
      </c>
      <c r="R94" s="1365">
        <f>R95</f>
        <v>0</v>
      </c>
      <c r="S94" s="1365">
        <f>S95</f>
        <v>2021.3</v>
      </c>
      <c r="T94" s="1365">
        <f>T95</f>
        <v>4524.86816</v>
      </c>
      <c r="U94" s="1245">
        <f t="shared" si="70"/>
        <v>7097.636410000001</v>
      </c>
      <c r="V94" s="1284">
        <f>V95</f>
        <v>0</v>
      </c>
      <c r="W94" s="1284">
        <f>W95</f>
        <v>2328.69</v>
      </c>
      <c r="X94" s="1284">
        <f>X95</f>
        <v>4768.9464100000005</v>
      </c>
      <c r="Y94" s="1245">
        <f t="shared" si="71"/>
        <v>7147.2104899999995</v>
      </c>
      <c r="Z94" s="1245">
        <f>Z95</f>
        <v>0</v>
      </c>
      <c r="AA94" s="1284">
        <f>AA95</f>
        <v>2706.3909999999996</v>
      </c>
      <c r="AB94" s="1245">
        <f>AB95</f>
        <v>4440.8194899999999</v>
      </c>
      <c r="AC94" s="702"/>
      <c r="AD94" s="702"/>
      <c r="AE94" s="703">
        <f t="shared" si="60"/>
        <v>7028.0380000000005</v>
      </c>
      <c r="AF94" s="1037">
        <f>AF95</f>
        <v>0</v>
      </c>
      <c r="AG94" s="1037">
        <f>AG95</f>
        <v>2566.0729999999999</v>
      </c>
      <c r="AH94" s="1039">
        <f>AH95</f>
        <v>4461.9650000000001</v>
      </c>
      <c r="AI94" s="730">
        <f t="shared" si="73"/>
        <v>6574.7079999999996</v>
      </c>
      <c r="AJ94" s="730">
        <f>AJ95</f>
        <v>0</v>
      </c>
      <c r="AK94" s="730">
        <f>AK95</f>
        <v>2603.308</v>
      </c>
      <c r="AL94" s="1082">
        <f>AL95</f>
        <v>3971.3999999999996</v>
      </c>
      <c r="AM94" s="730">
        <f t="shared" si="58"/>
        <v>5947.3557999999994</v>
      </c>
      <c r="AN94" s="730">
        <f>AN95</f>
        <v>0</v>
      </c>
      <c r="AO94" s="730">
        <f>AO95</f>
        <v>2603.3380000000002</v>
      </c>
      <c r="AP94" s="730">
        <f>AP95</f>
        <v>3344.0177999999996</v>
      </c>
      <c r="AQ94" s="730">
        <f t="shared" si="59"/>
        <v>7147.3557999999994</v>
      </c>
      <c r="AR94" s="730">
        <f>AR95</f>
        <v>0</v>
      </c>
      <c r="AS94" s="730">
        <f>AS95</f>
        <v>2603.3380000000002</v>
      </c>
      <c r="AT94" s="730">
        <f>AT95</f>
        <v>4544.0177999999996</v>
      </c>
    </row>
    <row r="95" spans="1:46" ht="51.75" customHeight="1" x14ac:dyDescent="0.25">
      <c r="A95" s="85" t="s">
        <v>235</v>
      </c>
      <c r="B95" s="704" t="s">
        <v>236</v>
      </c>
      <c r="C95" s="109"/>
      <c r="D95" s="109"/>
      <c r="E95" s="185">
        <f>F95+G95+H95</f>
        <v>62445.372660000001</v>
      </c>
      <c r="F95" s="185">
        <f t="shared" ref="F95:G108" si="74">J95+N95+R95+V95+Z95+AF95+AJ95+AN95+AR95</f>
        <v>0</v>
      </c>
      <c r="G95" s="185">
        <f t="shared" si="74"/>
        <v>21225.137999999999</v>
      </c>
      <c r="H95" s="185">
        <f>L95+P95+T95+X95+AB95+AH95+AL95+AP95+AT95</f>
        <v>41220.234660000002</v>
      </c>
      <c r="I95" s="1350">
        <f t="shared" si="68"/>
        <v>8308.14</v>
      </c>
      <c r="J95" s="1366">
        <f>J96+J97</f>
        <v>0</v>
      </c>
      <c r="K95" s="1366">
        <f>K96+K97</f>
        <v>2007.3</v>
      </c>
      <c r="L95" s="1366">
        <f>L96+L97+L105</f>
        <v>6300.84</v>
      </c>
      <c r="M95" s="1350">
        <f>N95+O95+P95</f>
        <v>6648.76</v>
      </c>
      <c r="N95" s="1366">
        <f>N96+N97</f>
        <v>0</v>
      </c>
      <c r="O95" s="1366">
        <f>O96+O97</f>
        <v>1785.4</v>
      </c>
      <c r="P95" s="1366">
        <f>P96+P97+P105</f>
        <v>4863.3599999999997</v>
      </c>
      <c r="Q95" s="1350">
        <f t="shared" si="69"/>
        <v>6546.1681600000002</v>
      </c>
      <c r="R95" s="1366">
        <f>R96+R97</f>
        <v>0</v>
      </c>
      <c r="S95" s="1366">
        <f>S96+S97</f>
        <v>2021.3</v>
      </c>
      <c r="T95" s="1366">
        <f>T96+T97+T105</f>
        <v>4524.86816</v>
      </c>
      <c r="U95" s="1348">
        <f t="shared" si="70"/>
        <v>7097.636410000001</v>
      </c>
      <c r="V95" s="1351">
        <f>V96+V97</f>
        <v>0</v>
      </c>
      <c r="W95" s="1351">
        <f>W96+W97</f>
        <v>2328.69</v>
      </c>
      <c r="X95" s="1351">
        <f>X96+X97+X105</f>
        <v>4768.9464100000005</v>
      </c>
      <c r="Y95" s="1348">
        <f t="shared" si="71"/>
        <v>7147.2104899999995</v>
      </c>
      <c r="Z95" s="1367">
        <f>Z96+Z97</f>
        <v>0</v>
      </c>
      <c r="AA95" s="1351">
        <f>AA96+AA97+AA105+AA106</f>
        <v>2706.3909999999996</v>
      </c>
      <c r="AB95" s="1351">
        <f>AB96+AB97+AB105+AB106</f>
        <v>4440.8194899999999</v>
      </c>
      <c r="AC95" s="694"/>
      <c r="AD95" s="694"/>
      <c r="AE95" s="695">
        <f t="shared" si="60"/>
        <v>7028.0380000000005</v>
      </c>
      <c r="AF95" s="1038">
        <f>AF96+AF97+AF105</f>
        <v>0</v>
      </c>
      <c r="AG95" s="1461">
        <f>AG96+AG97</f>
        <v>2566.0729999999999</v>
      </c>
      <c r="AH95" s="1461">
        <f>AH96+AH97+AH105+AH106</f>
        <v>4461.9650000000001</v>
      </c>
      <c r="AI95" s="959">
        <f t="shared" si="73"/>
        <v>6574.7079999999996</v>
      </c>
      <c r="AJ95" s="195">
        <f>AJ96+AJ97+AJ105</f>
        <v>0</v>
      </c>
      <c r="AK95" s="195">
        <f>AK96+AK97+AK105</f>
        <v>2603.308</v>
      </c>
      <c r="AL95" s="195">
        <f>AL96+AL97+AL105+AL106</f>
        <v>3971.3999999999996</v>
      </c>
      <c r="AM95" s="959">
        <f t="shared" si="58"/>
        <v>5947.3557999999994</v>
      </c>
      <c r="AN95" s="192">
        <f>AN96+AN97+AN105</f>
        <v>0</v>
      </c>
      <c r="AO95" s="192">
        <f>AO96+AO97+AO105</f>
        <v>2603.3380000000002</v>
      </c>
      <c r="AP95" s="195">
        <f>AP96+AP97+AP105+AP106</f>
        <v>3344.0177999999996</v>
      </c>
      <c r="AQ95" s="959">
        <f t="shared" si="59"/>
        <v>7147.3557999999994</v>
      </c>
      <c r="AR95" s="192">
        <f>AR96+AR97+AR105</f>
        <v>0</v>
      </c>
      <c r="AS95" s="192">
        <f>AS96+AS97+AS105</f>
        <v>2603.3380000000002</v>
      </c>
      <c r="AT95" s="195">
        <f>AT96+AT97+AT105+AT106</f>
        <v>4544.0177999999996</v>
      </c>
    </row>
    <row r="96" spans="1:46" ht="67.5" customHeight="1" x14ac:dyDescent="0.25">
      <c r="A96" s="128" t="s">
        <v>263</v>
      </c>
      <c r="B96" s="690" t="s">
        <v>584</v>
      </c>
      <c r="C96" s="690" t="s">
        <v>380</v>
      </c>
      <c r="D96" s="690"/>
      <c r="E96" s="187">
        <f>I96+M96+Q96+U96+Y96+AE96</f>
        <v>23360.972270000002</v>
      </c>
      <c r="F96" s="187">
        <f t="shared" si="74"/>
        <v>0</v>
      </c>
      <c r="G96" s="187">
        <f t="shared" si="74"/>
        <v>18247.816999999999</v>
      </c>
      <c r="H96" s="187">
        <f>L96+P96+T96+X96+AB96+AH96+AL96+AP96+AT96</f>
        <v>16033.474870000002</v>
      </c>
      <c r="I96" s="1368">
        <f t="shared" si="68"/>
        <v>4514.8</v>
      </c>
      <c r="J96" s="1369"/>
      <c r="K96" s="1369">
        <v>2007.3</v>
      </c>
      <c r="L96" s="1369">
        <v>2507.5</v>
      </c>
      <c r="M96" s="1368">
        <f>N96+O96+P96</f>
        <v>3664</v>
      </c>
      <c r="N96" s="1369"/>
      <c r="O96" s="1369">
        <v>1785.4</v>
      </c>
      <c r="P96" s="1369">
        <v>1878.6</v>
      </c>
      <c r="Q96" s="1368">
        <f t="shared" si="69"/>
        <v>3963.6821600000003</v>
      </c>
      <c r="R96" s="1369"/>
      <c r="S96" s="1369">
        <v>2021.3</v>
      </c>
      <c r="T96" s="1369">
        <v>1942.3821600000001</v>
      </c>
      <c r="U96" s="1361">
        <f t="shared" si="70"/>
        <v>3807.2354700000001</v>
      </c>
      <c r="V96" s="1360"/>
      <c r="W96" s="1360">
        <v>1898.4</v>
      </c>
      <c r="X96" s="1360">
        <f>2093.63-184.79453</f>
        <v>1908.83547</v>
      </c>
      <c r="Y96" s="1361">
        <f t="shared" si="71"/>
        <v>3789.85464</v>
      </c>
      <c r="Z96" s="1361"/>
      <c r="AA96" s="1360">
        <f>2276.091-257.258</f>
        <v>2018.8329999999999</v>
      </c>
      <c r="AB96" s="1358">
        <f>1831.1+4.116-43.15629-24.1659+1.14075+1.98708</f>
        <v>1771.0216400000002</v>
      </c>
      <c r="AC96" s="175"/>
      <c r="AD96" s="175"/>
      <c r="AE96" s="637">
        <f t="shared" si="60"/>
        <v>3621.4</v>
      </c>
      <c r="AF96" s="1021"/>
      <c r="AG96" s="637">
        <v>2071.5</v>
      </c>
      <c r="AH96" s="1472">
        <v>1549.9</v>
      </c>
      <c r="AI96" s="876">
        <f t="shared" si="73"/>
        <v>3671.2079999999996</v>
      </c>
      <c r="AJ96" s="876"/>
      <c r="AK96" s="876">
        <v>2108.4079999999999</v>
      </c>
      <c r="AL96" s="947">
        <v>1562.8</v>
      </c>
      <c r="AM96" s="876">
        <f t="shared" si="58"/>
        <v>3624.5558000000001</v>
      </c>
      <c r="AN96" s="876"/>
      <c r="AO96" s="876">
        <v>2168.3380000000002</v>
      </c>
      <c r="AP96" s="876">
        <f>1856.2178-400</f>
        <v>1456.2177999999999</v>
      </c>
      <c r="AQ96" s="876">
        <f t="shared" si="59"/>
        <v>3624.5558000000001</v>
      </c>
      <c r="AR96" s="876"/>
      <c r="AS96" s="876">
        <v>2168.3380000000002</v>
      </c>
      <c r="AT96" s="876">
        <f>1856.2178-400</f>
        <v>1456.2177999999999</v>
      </c>
    </row>
    <row r="97" spans="1:46" ht="33" customHeight="1" x14ac:dyDescent="0.25">
      <c r="A97" s="128" t="s">
        <v>259</v>
      </c>
      <c r="B97" s="705" t="s">
        <v>260</v>
      </c>
      <c r="C97" s="112" t="s">
        <v>380</v>
      </c>
      <c r="D97" s="113"/>
      <c r="E97" s="187">
        <f>I97+M97+Q97+U97+Y97+AE97</f>
        <v>8522.4116699999995</v>
      </c>
      <c r="F97" s="187">
        <f t="shared" si="74"/>
        <v>0</v>
      </c>
      <c r="G97" s="187">
        <f t="shared" si="74"/>
        <v>2977.3209999999999</v>
      </c>
      <c r="H97" s="187">
        <f t="shared" ref="H97:H106" si="75">L97+P97+T97+X97+AB97+AH97+AL97+AP97+AT97</f>
        <v>9677.8906699999989</v>
      </c>
      <c r="I97" s="1368">
        <f t="shared" si="68"/>
        <v>1334.82</v>
      </c>
      <c r="J97" s="1257">
        <f>SUM(J98:J104)</f>
        <v>0</v>
      </c>
      <c r="K97" s="1257">
        <f>SUM(K98:K104)</f>
        <v>0</v>
      </c>
      <c r="L97" s="1257">
        <f>SUM(L98:L104)</f>
        <v>1334.82</v>
      </c>
      <c r="M97" s="1368">
        <f>N97+O97+P97</f>
        <v>1273.52</v>
      </c>
      <c r="N97" s="1257">
        <f>SUM(N98:N104)</f>
        <v>0</v>
      </c>
      <c r="O97" s="1257">
        <f>SUM(O98:O104)</f>
        <v>0</v>
      </c>
      <c r="P97" s="1257">
        <f>SUM(P98:P104)</f>
        <v>1273.52</v>
      </c>
      <c r="Q97" s="1368">
        <f t="shared" si="69"/>
        <v>916.48599999999999</v>
      </c>
      <c r="R97" s="1257">
        <f>SUM(R98:R104)</f>
        <v>0</v>
      </c>
      <c r="S97" s="1257">
        <f>SUM(S98:S104)</f>
        <v>0</v>
      </c>
      <c r="T97" s="1257">
        <f>SUM(T98:T104)</f>
        <v>916.48599999999999</v>
      </c>
      <c r="U97" s="1361">
        <f t="shared" si="70"/>
        <v>1597.4181599999999</v>
      </c>
      <c r="V97" s="1299">
        <f>SUM(V98:V104)</f>
        <v>0</v>
      </c>
      <c r="W97" s="1299">
        <f>W99+W103+W104</f>
        <v>430.28999999999996</v>
      </c>
      <c r="X97" s="1299">
        <f>X98+X99+X102+X103+X104</f>
        <v>1167.12816</v>
      </c>
      <c r="Y97" s="1361">
        <f t="shared" si="71"/>
        <v>1756.0945100000001</v>
      </c>
      <c r="Z97" s="1299">
        <f>SUM(Z98:Z104)</f>
        <v>0</v>
      </c>
      <c r="AA97" s="1299">
        <f>AA99+AA103+AA104</f>
        <v>687.55799999999999</v>
      </c>
      <c r="AB97" s="1308">
        <f>AB98+AB99+AB102+AB103+AB104</f>
        <v>1068.5365100000001</v>
      </c>
      <c r="AC97" s="175"/>
      <c r="AD97" s="175"/>
      <c r="AE97" s="637">
        <f t="shared" si="60"/>
        <v>1644.0729999999999</v>
      </c>
      <c r="AF97" s="1021"/>
      <c r="AG97" s="1473">
        <f>AG99+AG103+AG104</f>
        <v>494.57299999999998</v>
      </c>
      <c r="AH97" s="1473">
        <f>AH98+AH99+AH102+AH103+AH104</f>
        <v>1149.5</v>
      </c>
      <c r="AI97" s="876">
        <f t="shared" si="73"/>
        <v>891.2</v>
      </c>
      <c r="AJ97" s="876"/>
      <c r="AK97" s="187">
        <f>AK99+AK103+AK104</f>
        <v>494.9</v>
      </c>
      <c r="AL97" s="193">
        <f>AL98+AL99+AL102+AL103+AL104</f>
        <v>396.3</v>
      </c>
      <c r="AM97" s="876">
        <f t="shared" ref="AM97:AM106" si="76">AN97+AO97+AP97</f>
        <v>1620.8</v>
      </c>
      <c r="AN97" s="876"/>
      <c r="AO97" s="187">
        <f>AO99+AO103+AO104</f>
        <v>435</v>
      </c>
      <c r="AP97" s="193">
        <f>AP98+AP99+AP102+AP103+AP104</f>
        <v>1185.8</v>
      </c>
      <c r="AQ97" s="876">
        <f t="shared" si="59"/>
        <v>1620.8</v>
      </c>
      <c r="AR97" s="876"/>
      <c r="AS97" s="187">
        <f>AS99</f>
        <v>435</v>
      </c>
      <c r="AT97" s="193">
        <f>AT98+AT99+AT102+AT103+AT104</f>
        <v>1185.8</v>
      </c>
    </row>
    <row r="98" spans="1:46" ht="48" customHeight="1" x14ac:dyDescent="0.25">
      <c r="A98" s="128" t="s">
        <v>261</v>
      </c>
      <c r="B98" s="112" t="s">
        <v>237</v>
      </c>
      <c r="C98" s="112" t="s">
        <v>380</v>
      </c>
      <c r="D98" s="112"/>
      <c r="E98" s="187">
        <f t="shared" si="67"/>
        <v>3718.0495999999998</v>
      </c>
      <c r="F98" s="187">
        <f t="shared" si="74"/>
        <v>0</v>
      </c>
      <c r="G98" s="187">
        <f t="shared" si="74"/>
        <v>0</v>
      </c>
      <c r="H98" s="187">
        <f t="shared" si="75"/>
        <v>3718.0495999999998</v>
      </c>
      <c r="I98" s="1257">
        <f t="shared" si="68"/>
        <v>415.02</v>
      </c>
      <c r="J98" s="1257"/>
      <c r="K98" s="1293"/>
      <c r="L98" s="1298">
        <v>415.02</v>
      </c>
      <c r="M98" s="1257">
        <f t="shared" si="72"/>
        <v>440.1</v>
      </c>
      <c r="N98" s="1257"/>
      <c r="O98" s="1364"/>
      <c r="P98" s="1259">
        <v>440.1</v>
      </c>
      <c r="Q98" s="1257">
        <f t="shared" si="69"/>
        <v>249.64500000000001</v>
      </c>
      <c r="R98" s="1257"/>
      <c r="S98" s="1259"/>
      <c r="T98" s="1259">
        <v>249.64500000000001</v>
      </c>
      <c r="U98" s="1299">
        <f t="shared" si="70"/>
        <v>247.6</v>
      </c>
      <c r="V98" s="1299"/>
      <c r="W98" s="1309"/>
      <c r="X98" s="1309">
        <f>247.6-9.022+9.022</f>
        <v>247.6</v>
      </c>
      <c r="Y98" s="1361">
        <f t="shared" si="71"/>
        <v>494.88460000000003</v>
      </c>
      <c r="Z98" s="1370"/>
      <c r="AA98" s="1309"/>
      <c r="AB98" s="1265">
        <f>249+245.98-0.0954</f>
        <v>494.88460000000003</v>
      </c>
      <c r="AC98" s="175"/>
      <c r="AD98" s="175"/>
      <c r="AE98" s="637">
        <f t="shared" si="60"/>
        <v>623.6</v>
      </c>
      <c r="AF98" s="1021"/>
      <c r="AG98" s="1474"/>
      <c r="AH98" s="1019">
        <f>280+343.6</f>
        <v>623.6</v>
      </c>
      <c r="AI98" s="876">
        <f t="shared" si="73"/>
        <v>0</v>
      </c>
      <c r="AJ98" s="876"/>
      <c r="AK98" s="876"/>
      <c r="AL98" s="947"/>
      <c r="AM98" s="876">
        <f t="shared" si="76"/>
        <v>623.6</v>
      </c>
      <c r="AN98" s="876"/>
      <c r="AO98" s="876"/>
      <c r="AP98" s="876">
        <v>623.6</v>
      </c>
      <c r="AQ98" s="876">
        <f t="shared" si="59"/>
        <v>623.6</v>
      </c>
      <c r="AR98" s="876"/>
      <c r="AS98" s="876"/>
      <c r="AT98" s="876">
        <v>623.6</v>
      </c>
    </row>
    <row r="99" spans="1:46" ht="61.5" customHeight="1" x14ac:dyDescent="0.25">
      <c r="A99" s="128" t="s">
        <v>262</v>
      </c>
      <c r="B99" s="112" t="s">
        <v>585</v>
      </c>
      <c r="C99" s="286" t="s">
        <v>380</v>
      </c>
      <c r="D99" s="311"/>
      <c r="E99" s="188">
        <f t="shared" si="67"/>
        <v>5924.9437099999996</v>
      </c>
      <c r="F99" s="187">
        <f t="shared" si="74"/>
        <v>0</v>
      </c>
      <c r="G99" s="187">
        <f t="shared" si="74"/>
        <v>2977.3209999999999</v>
      </c>
      <c r="H99" s="187">
        <f t="shared" si="75"/>
        <v>2947.6227100000001</v>
      </c>
      <c r="I99" s="1267">
        <f t="shared" si="68"/>
        <v>248</v>
      </c>
      <c r="J99" s="1267"/>
      <c r="K99" s="1267"/>
      <c r="L99" s="1267">
        <v>248</v>
      </c>
      <c r="M99" s="1267">
        <f t="shared" si="72"/>
        <v>297.92</v>
      </c>
      <c r="N99" s="1267"/>
      <c r="O99" s="1371"/>
      <c r="P99" s="1262">
        <v>297.92</v>
      </c>
      <c r="Q99" s="1267">
        <f t="shared" si="69"/>
        <v>449.00099999999998</v>
      </c>
      <c r="R99" s="1267"/>
      <c r="S99" s="1262"/>
      <c r="T99" s="1262">
        <v>449.00099999999998</v>
      </c>
      <c r="U99" s="1299">
        <f t="shared" si="70"/>
        <v>1047.4479999999999</v>
      </c>
      <c r="V99" s="1299"/>
      <c r="W99" s="1309">
        <f>W101+W100</f>
        <v>430.28999999999996</v>
      </c>
      <c r="X99" s="1372">
        <f>X100+X101</f>
        <v>617.1579999999999</v>
      </c>
      <c r="Y99" s="1361">
        <f t="shared" si="71"/>
        <v>945.30170999999996</v>
      </c>
      <c r="Z99" s="1370"/>
      <c r="AA99" s="1309">
        <f>AA100+AA101</f>
        <v>687.55799999999999</v>
      </c>
      <c r="AB99" s="1265">
        <f>AB100+AB101</f>
        <v>257.74371000000002</v>
      </c>
      <c r="AC99" s="175"/>
      <c r="AD99" s="175"/>
      <c r="AE99" s="637">
        <f t="shared" si="60"/>
        <v>733.07299999999998</v>
      </c>
      <c r="AF99" s="1021"/>
      <c r="AG99" s="637">
        <f>AG100+AG101</f>
        <v>494.57299999999998</v>
      </c>
      <c r="AH99" s="637">
        <f>AH100+AH101</f>
        <v>238.5</v>
      </c>
      <c r="AI99" s="876">
        <f t="shared" si="73"/>
        <v>806.2</v>
      </c>
      <c r="AJ99" s="876"/>
      <c r="AK99" s="876">
        <f>AK100+AK101</f>
        <v>494.9</v>
      </c>
      <c r="AL99" s="876">
        <f>AL100+AL101</f>
        <v>311.3</v>
      </c>
      <c r="AM99" s="876">
        <f t="shared" si="76"/>
        <v>699</v>
      </c>
      <c r="AN99" s="876">
        <f>AN100</f>
        <v>0</v>
      </c>
      <c r="AO99" s="876">
        <f>AO100+AO101</f>
        <v>435</v>
      </c>
      <c r="AP99" s="876">
        <f>AP100+AP101</f>
        <v>264</v>
      </c>
      <c r="AQ99" s="876">
        <f t="shared" si="59"/>
        <v>699</v>
      </c>
      <c r="AR99" s="876">
        <f>AR100+AR101</f>
        <v>0</v>
      </c>
      <c r="AS99" s="876">
        <f>AS100+AS101</f>
        <v>435</v>
      </c>
      <c r="AT99" s="876">
        <f>AT100+AT101</f>
        <v>264</v>
      </c>
    </row>
    <row r="100" spans="1:46" ht="19.5" customHeight="1" x14ac:dyDescent="0.25">
      <c r="A100" s="128"/>
      <c r="B100" s="751" t="s">
        <v>586</v>
      </c>
      <c r="C100" s="752"/>
      <c r="D100" s="311"/>
      <c r="E100" s="188">
        <f t="shared" si="67"/>
        <v>4542.7197099999994</v>
      </c>
      <c r="F100" s="187">
        <f t="shared" si="74"/>
        <v>0</v>
      </c>
      <c r="G100" s="187">
        <f t="shared" si="74"/>
        <v>2688.9479999999999</v>
      </c>
      <c r="H100" s="187">
        <f t="shared" si="75"/>
        <v>1853.77171</v>
      </c>
      <c r="I100" s="1267"/>
      <c r="J100" s="1267"/>
      <c r="K100" s="1267"/>
      <c r="L100" s="1267"/>
      <c r="M100" s="1267"/>
      <c r="N100" s="1267"/>
      <c r="O100" s="1371"/>
      <c r="P100" s="1262"/>
      <c r="Q100" s="1267"/>
      <c r="R100" s="1267"/>
      <c r="S100" s="1262"/>
      <c r="T100" s="1262"/>
      <c r="U100" s="1299">
        <f>V100+W100+X100</f>
        <v>924.61799999999994</v>
      </c>
      <c r="V100" s="1299"/>
      <c r="W100" s="1309">
        <v>391.89</v>
      </c>
      <c r="X100" s="1309">
        <f>541.75-9.022</f>
        <v>532.72799999999995</v>
      </c>
      <c r="Y100" s="1361">
        <f t="shared" si="71"/>
        <v>945.30170999999996</v>
      </c>
      <c r="Z100" s="1370"/>
      <c r="AA100" s="1309">
        <f>430.3+257.258</f>
        <v>687.55799999999999</v>
      </c>
      <c r="AB100" s="1265">
        <f>530.5-266.19-6.56629</f>
        <v>257.74371000000002</v>
      </c>
      <c r="AC100" s="175"/>
      <c r="AD100" s="175"/>
      <c r="AE100" s="637">
        <f t="shared" si="60"/>
        <v>716</v>
      </c>
      <c r="AF100" s="1021"/>
      <c r="AG100" s="637">
        <v>479.5</v>
      </c>
      <c r="AH100" s="1019">
        <v>236.5</v>
      </c>
      <c r="AI100" s="876">
        <f t="shared" si="73"/>
        <v>716.8</v>
      </c>
      <c r="AJ100" s="876"/>
      <c r="AK100" s="876">
        <v>410</v>
      </c>
      <c r="AL100" s="947">
        <v>306.8</v>
      </c>
      <c r="AM100" s="876">
        <f t="shared" si="76"/>
        <v>620</v>
      </c>
      <c r="AN100" s="876"/>
      <c r="AO100" s="876">
        <v>360</v>
      </c>
      <c r="AP100" s="876">
        <v>260</v>
      </c>
      <c r="AQ100" s="876">
        <f t="shared" si="59"/>
        <v>620</v>
      </c>
      <c r="AR100" s="876"/>
      <c r="AS100" s="876">
        <v>360</v>
      </c>
      <c r="AT100" s="876">
        <v>260</v>
      </c>
    </row>
    <row r="101" spans="1:46" ht="19.5" customHeight="1" x14ac:dyDescent="0.25">
      <c r="A101" s="128"/>
      <c r="B101" s="751" t="s">
        <v>587</v>
      </c>
      <c r="C101" s="752"/>
      <c r="D101" s="311"/>
      <c r="E101" s="188">
        <f t="shared" si="67"/>
        <v>387.303</v>
      </c>
      <c r="F101" s="187">
        <f t="shared" si="74"/>
        <v>0</v>
      </c>
      <c r="G101" s="187">
        <f t="shared" si="74"/>
        <v>288.37299999999999</v>
      </c>
      <c r="H101" s="187">
        <f t="shared" si="75"/>
        <v>98.93</v>
      </c>
      <c r="I101" s="1267"/>
      <c r="J101" s="1267"/>
      <c r="K101" s="1267"/>
      <c r="L101" s="1267"/>
      <c r="M101" s="1267"/>
      <c r="N101" s="1267"/>
      <c r="O101" s="1371"/>
      <c r="P101" s="1262"/>
      <c r="Q101" s="1267"/>
      <c r="R101" s="1267"/>
      <c r="S101" s="1262"/>
      <c r="T101" s="1262"/>
      <c r="U101" s="1299">
        <f>V101+W101+X101</f>
        <v>122.83000000000001</v>
      </c>
      <c r="V101" s="1299"/>
      <c r="W101" s="1309">
        <v>38.4</v>
      </c>
      <c r="X101" s="1309">
        <v>84.43</v>
      </c>
      <c r="Y101" s="1361">
        <f t="shared" si="71"/>
        <v>0</v>
      </c>
      <c r="Z101" s="1370"/>
      <c r="AA101" s="1373"/>
      <c r="AB101" s="1265"/>
      <c r="AC101" s="175"/>
      <c r="AD101" s="175"/>
      <c r="AE101" s="637">
        <f t="shared" si="60"/>
        <v>17.073</v>
      </c>
      <c r="AF101" s="1021"/>
      <c r="AG101" s="637">
        <v>15.073</v>
      </c>
      <c r="AH101" s="1019">
        <f>0.796+1.204</f>
        <v>2</v>
      </c>
      <c r="AI101" s="876">
        <f t="shared" si="73"/>
        <v>89.4</v>
      </c>
      <c r="AJ101" s="876"/>
      <c r="AK101" s="876">
        <v>84.9</v>
      </c>
      <c r="AL101" s="947">
        <v>4.5</v>
      </c>
      <c r="AM101" s="876">
        <f t="shared" si="76"/>
        <v>79</v>
      </c>
      <c r="AN101" s="876"/>
      <c r="AO101" s="876">
        <v>75</v>
      </c>
      <c r="AP101" s="876">
        <v>4</v>
      </c>
      <c r="AQ101" s="876">
        <f t="shared" si="59"/>
        <v>79</v>
      </c>
      <c r="AR101" s="876"/>
      <c r="AS101" s="876">
        <v>75</v>
      </c>
      <c r="AT101" s="876">
        <v>4</v>
      </c>
    </row>
    <row r="102" spans="1:46" ht="48.75" x14ac:dyDescent="0.25">
      <c r="A102" s="128" t="s">
        <v>264</v>
      </c>
      <c r="B102" s="690" t="s">
        <v>592</v>
      </c>
      <c r="C102" s="114" t="s">
        <v>50</v>
      </c>
      <c r="D102" s="113"/>
      <c r="E102" s="187">
        <f t="shared" si="67"/>
        <v>421.57</v>
      </c>
      <c r="F102" s="187">
        <f t="shared" si="74"/>
        <v>0</v>
      </c>
      <c r="G102" s="187">
        <f t="shared" si="74"/>
        <v>0</v>
      </c>
      <c r="H102" s="187">
        <f t="shared" si="75"/>
        <v>421.57</v>
      </c>
      <c r="I102" s="1257">
        <f t="shared" si="68"/>
        <v>55</v>
      </c>
      <c r="J102" s="1257"/>
      <c r="K102" s="1293"/>
      <c r="L102" s="1257">
        <v>55</v>
      </c>
      <c r="M102" s="1257">
        <f t="shared" ref="M102:M109" si="77">N102+O102+P102</f>
        <v>83.7</v>
      </c>
      <c r="N102" s="1257"/>
      <c r="O102" s="1364"/>
      <c r="P102" s="1259">
        <v>83.7</v>
      </c>
      <c r="Q102" s="1267">
        <f t="shared" si="69"/>
        <v>58.9</v>
      </c>
      <c r="R102" s="1267"/>
      <c r="S102" s="1262"/>
      <c r="T102" s="1259">
        <v>58.9</v>
      </c>
      <c r="U102" s="1299">
        <f t="shared" si="70"/>
        <v>43.97</v>
      </c>
      <c r="V102" s="1299"/>
      <c r="W102" s="1309"/>
      <c r="X102" s="1309">
        <v>43.97</v>
      </c>
      <c r="Y102" s="1361">
        <f t="shared" si="71"/>
        <v>35</v>
      </c>
      <c r="Z102" s="1370"/>
      <c r="AA102" s="1373"/>
      <c r="AB102" s="1265">
        <f>70-20-15</f>
        <v>35</v>
      </c>
      <c r="AC102" s="175"/>
      <c r="AD102" s="175"/>
      <c r="AE102" s="637">
        <f t="shared" si="60"/>
        <v>25</v>
      </c>
      <c r="AF102" s="1021"/>
      <c r="AG102" s="1021"/>
      <c r="AH102" s="1019">
        <v>25</v>
      </c>
      <c r="AI102" s="876">
        <f t="shared" si="73"/>
        <v>0</v>
      </c>
      <c r="AJ102" s="876"/>
      <c r="AK102" s="876"/>
      <c r="AL102" s="947">
        <v>0</v>
      </c>
      <c r="AM102" s="876">
        <f t="shared" si="76"/>
        <v>60</v>
      </c>
      <c r="AN102" s="876"/>
      <c r="AO102" s="876"/>
      <c r="AP102" s="876">
        <v>60</v>
      </c>
      <c r="AQ102" s="876">
        <f t="shared" si="59"/>
        <v>60</v>
      </c>
      <c r="AR102" s="876"/>
      <c r="AS102" s="876"/>
      <c r="AT102" s="876">
        <v>60</v>
      </c>
    </row>
    <row r="103" spans="1:46" ht="29.25" customHeight="1" x14ac:dyDescent="0.25">
      <c r="A103" s="128" t="s">
        <v>265</v>
      </c>
      <c r="B103" s="115" t="s">
        <v>238</v>
      </c>
      <c r="C103" s="115" t="s">
        <v>19</v>
      </c>
      <c r="D103" s="116"/>
      <c r="E103" s="187">
        <f t="shared" si="67"/>
        <v>1031.37508</v>
      </c>
      <c r="F103" s="187">
        <f t="shared" si="74"/>
        <v>0</v>
      </c>
      <c r="G103" s="187">
        <f t="shared" si="74"/>
        <v>0</v>
      </c>
      <c r="H103" s="187">
        <f t="shared" si="75"/>
        <v>1031.37508</v>
      </c>
      <c r="I103" s="1257">
        <f t="shared" si="68"/>
        <v>464.6</v>
      </c>
      <c r="J103" s="1257"/>
      <c r="K103" s="1293"/>
      <c r="L103" s="1257">
        <v>464.6</v>
      </c>
      <c r="M103" s="1257">
        <f t="shared" si="77"/>
        <v>253.6</v>
      </c>
      <c r="N103" s="1257"/>
      <c r="O103" s="1364"/>
      <c r="P103" s="1259">
        <v>253.6</v>
      </c>
      <c r="Q103" s="1267">
        <f t="shared" si="69"/>
        <v>93.84</v>
      </c>
      <c r="R103" s="1267"/>
      <c r="S103" s="1262"/>
      <c r="T103" s="1259">
        <v>93.84</v>
      </c>
      <c r="U103" s="1299">
        <f t="shared" si="70"/>
        <v>107.40016</v>
      </c>
      <c r="V103" s="1299"/>
      <c r="W103" s="1309"/>
      <c r="X103" s="1309">
        <f>109.4-1.99984</f>
        <v>107.40016</v>
      </c>
      <c r="Y103" s="1361">
        <f t="shared" si="71"/>
        <v>111.93492000000001</v>
      </c>
      <c r="Z103" s="1374"/>
      <c r="AA103" s="1375"/>
      <c r="AB103" s="1265">
        <f>107.4+10.6-6.06508</f>
        <v>111.93492000000001</v>
      </c>
      <c r="AC103" s="174"/>
      <c r="AD103" s="174"/>
      <c r="AE103" s="621">
        <f t="shared" si="60"/>
        <v>0</v>
      </c>
      <c r="AF103" s="782"/>
      <c r="AG103" s="782"/>
      <c r="AH103" s="1019">
        <v>0</v>
      </c>
      <c r="AI103" s="876">
        <f t="shared" si="73"/>
        <v>0</v>
      </c>
      <c r="AJ103" s="874"/>
      <c r="AK103" s="874"/>
      <c r="AL103" s="947">
        <v>0</v>
      </c>
      <c r="AM103" s="876">
        <f t="shared" si="76"/>
        <v>0</v>
      </c>
      <c r="AN103" s="876"/>
      <c r="AO103" s="876"/>
      <c r="AP103" s="876"/>
      <c r="AQ103" s="876">
        <f t="shared" si="59"/>
        <v>0</v>
      </c>
      <c r="AR103" s="876"/>
      <c r="AS103" s="876"/>
      <c r="AT103" s="876"/>
    </row>
    <row r="104" spans="1:46" s="117" customFormat="1" ht="66" customHeight="1" x14ac:dyDescent="0.25">
      <c r="A104" s="128" t="s">
        <v>349</v>
      </c>
      <c r="B104" s="691" t="s">
        <v>301</v>
      </c>
      <c r="C104" s="115" t="s">
        <v>74</v>
      </c>
      <c r="D104" s="116"/>
      <c r="E104" s="187">
        <f t="shared" si="67"/>
        <v>1559.2732800000001</v>
      </c>
      <c r="F104" s="187">
        <f t="shared" si="74"/>
        <v>0</v>
      </c>
      <c r="G104" s="187">
        <f t="shared" si="74"/>
        <v>0</v>
      </c>
      <c r="H104" s="187">
        <f t="shared" si="75"/>
        <v>1559.2732800000001</v>
      </c>
      <c r="I104" s="1257">
        <f t="shared" si="68"/>
        <v>152.19999999999999</v>
      </c>
      <c r="J104" s="1257"/>
      <c r="K104" s="1257"/>
      <c r="L104" s="1298">
        <v>152.19999999999999</v>
      </c>
      <c r="M104" s="1257">
        <f t="shared" si="77"/>
        <v>198.2</v>
      </c>
      <c r="N104" s="1257"/>
      <c r="O104" s="1364"/>
      <c r="P104" s="1259">
        <v>198.2</v>
      </c>
      <c r="Q104" s="1257">
        <f t="shared" si="69"/>
        <v>65.099999999999994</v>
      </c>
      <c r="R104" s="1257"/>
      <c r="S104" s="1259"/>
      <c r="T104" s="1259">
        <v>65.099999999999994</v>
      </c>
      <c r="U104" s="1299">
        <f t="shared" si="70"/>
        <v>151</v>
      </c>
      <c r="V104" s="1299"/>
      <c r="W104" s="1309"/>
      <c r="X104" s="1309">
        <v>151</v>
      </c>
      <c r="Y104" s="1361">
        <f t="shared" si="71"/>
        <v>168.97328000000002</v>
      </c>
      <c r="Z104" s="1370"/>
      <c r="AA104" s="1375"/>
      <c r="AB104" s="1265">
        <f>155+0.114+15-1.14072</f>
        <v>168.97328000000002</v>
      </c>
      <c r="AC104" s="175"/>
      <c r="AD104" s="175"/>
      <c r="AE104" s="621">
        <f t="shared" si="60"/>
        <v>262.39999999999998</v>
      </c>
      <c r="AF104" s="1021"/>
      <c r="AG104" s="1021"/>
      <c r="AH104" s="1019">
        <v>262.39999999999998</v>
      </c>
      <c r="AI104" s="876">
        <f t="shared" si="73"/>
        <v>85</v>
      </c>
      <c r="AJ104" s="875"/>
      <c r="AK104" s="875"/>
      <c r="AL104" s="948">
        <v>85</v>
      </c>
      <c r="AM104" s="876">
        <f t="shared" si="76"/>
        <v>238.2</v>
      </c>
      <c r="AN104" s="639"/>
      <c r="AO104" s="639"/>
      <c r="AP104" s="639">
        <v>238.2</v>
      </c>
      <c r="AQ104" s="876">
        <f t="shared" si="59"/>
        <v>238.2</v>
      </c>
      <c r="AR104" s="639"/>
      <c r="AS104" s="639"/>
      <c r="AT104" s="639">
        <v>238.2</v>
      </c>
    </row>
    <row r="105" spans="1:46" s="117" customFormat="1" ht="52.15" customHeight="1" x14ac:dyDescent="0.25">
      <c r="A105" s="128" t="s">
        <v>348</v>
      </c>
      <c r="B105" s="269" t="s">
        <v>350</v>
      </c>
      <c r="C105" s="115" t="s">
        <v>43</v>
      </c>
      <c r="D105" s="116"/>
      <c r="E105" s="187">
        <f>F105+G105+H105</f>
        <v>7528.7427800000005</v>
      </c>
      <c r="F105" s="187">
        <f t="shared" si="74"/>
        <v>0</v>
      </c>
      <c r="G105" s="187">
        <f t="shared" si="74"/>
        <v>0</v>
      </c>
      <c r="H105" s="187">
        <f t="shared" si="75"/>
        <v>7528.7427800000005</v>
      </c>
      <c r="I105" s="1257">
        <f t="shared" si="68"/>
        <v>2458.52</v>
      </c>
      <c r="J105" s="1257"/>
      <c r="K105" s="1293"/>
      <c r="L105" s="1298">
        <v>2458.52</v>
      </c>
      <c r="M105" s="1257">
        <f>N105+O105+P105</f>
        <v>1711.24</v>
      </c>
      <c r="N105" s="1257"/>
      <c r="O105" s="1364"/>
      <c r="P105" s="1259">
        <v>1711.24</v>
      </c>
      <c r="Q105" s="1257">
        <f t="shared" si="69"/>
        <v>1666</v>
      </c>
      <c r="R105" s="1257"/>
      <c r="S105" s="1259"/>
      <c r="T105" s="1259">
        <v>1666</v>
      </c>
      <c r="U105" s="1299">
        <f t="shared" si="70"/>
        <v>1692.98278</v>
      </c>
      <c r="V105" s="1299"/>
      <c r="W105" s="1309"/>
      <c r="X105" s="1309">
        <f>1692.88+0.10278</f>
        <v>1692.98278</v>
      </c>
      <c r="Y105" s="1361">
        <f t="shared" si="71"/>
        <v>0</v>
      </c>
      <c r="Z105" s="1374"/>
      <c r="AA105" s="1375"/>
      <c r="AB105" s="1265">
        <v>0</v>
      </c>
      <c r="AC105" s="175"/>
      <c r="AD105" s="175"/>
      <c r="AE105" s="621">
        <f t="shared" si="60"/>
        <v>0</v>
      </c>
      <c r="AF105" s="1021"/>
      <c r="AG105" s="1021"/>
      <c r="AH105" s="280">
        <f>1650-1650</f>
        <v>0</v>
      </c>
      <c r="AI105" s="876">
        <f t="shared" si="73"/>
        <v>0</v>
      </c>
      <c r="AJ105" s="875"/>
      <c r="AK105" s="875"/>
      <c r="AL105" s="948">
        <v>0</v>
      </c>
      <c r="AM105" s="876">
        <f t="shared" si="76"/>
        <v>0</v>
      </c>
      <c r="AN105" s="639"/>
      <c r="AO105" s="639"/>
      <c r="AP105" s="639">
        <v>0</v>
      </c>
      <c r="AQ105" s="876">
        <f t="shared" si="59"/>
        <v>0</v>
      </c>
      <c r="AR105" s="639"/>
      <c r="AS105" s="639"/>
      <c r="AT105" s="639"/>
    </row>
    <row r="106" spans="1:46" s="117" customFormat="1" ht="52.15" customHeight="1" x14ac:dyDescent="0.25">
      <c r="A106" s="128" t="s">
        <v>650</v>
      </c>
      <c r="B106" s="929" t="s">
        <v>648</v>
      </c>
      <c r="C106" s="115" t="s">
        <v>43</v>
      </c>
      <c r="D106" s="116"/>
      <c r="E106" s="187">
        <f>F106+G106+H106</f>
        <v>7980.1263399999998</v>
      </c>
      <c r="F106" s="187">
        <f t="shared" si="74"/>
        <v>0</v>
      </c>
      <c r="G106" s="187">
        <f t="shared" si="74"/>
        <v>0</v>
      </c>
      <c r="H106" s="187">
        <f t="shared" si="75"/>
        <v>7980.1263399999998</v>
      </c>
      <c r="I106" s="1257"/>
      <c r="J106" s="1298"/>
      <c r="K106" s="1294"/>
      <c r="L106" s="1298"/>
      <c r="M106" s="1257"/>
      <c r="N106" s="1298"/>
      <c r="O106" s="1376"/>
      <c r="P106" s="1300"/>
      <c r="Q106" s="1257"/>
      <c r="R106" s="1298"/>
      <c r="S106" s="1300"/>
      <c r="T106" s="1300"/>
      <c r="U106" s="1299"/>
      <c r="V106" s="1301"/>
      <c r="W106" s="1273"/>
      <c r="X106" s="1273"/>
      <c r="Y106" s="1361">
        <f t="shared" si="71"/>
        <v>1601.26134</v>
      </c>
      <c r="Z106" s="1377"/>
      <c r="AA106" s="1378"/>
      <c r="AB106" s="1265">
        <f>1757-151.62-4.11866</f>
        <v>1601.26134</v>
      </c>
      <c r="AC106" s="175"/>
      <c r="AD106" s="175"/>
      <c r="AE106" s="621">
        <f>AF106+AG106+AH106</f>
        <v>1762.5650000000001</v>
      </c>
      <c r="AF106" s="1021"/>
      <c r="AG106" s="1021"/>
      <c r="AH106" s="280">
        <v>1762.5650000000001</v>
      </c>
      <c r="AI106" s="876">
        <f t="shared" si="73"/>
        <v>2012.3</v>
      </c>
      <c r="AJ106" s="875"/>
      <c r="AK106" s="875"/>
      <c r="AL106" s="948">
        <v>2012.3</v>
      </c>
      <c r="AM106" s="876">
        <f t="shared" si="76"/>
        <v>702</v>
      </c>
      <c r="AN106" s="639"/>
      <c r="AO106" s="639"/>
      <c r="AP106" s="639">
        <f>1902-1200</f>
        <v>702</v>
      </c>
      <c r="AQ106" s="876">
        <f t="shared" si="59"/>
        <v>1902</v>
      </c>
      <c r="AR106" s="639"/>
      <c r="AS106" s="639"/>
      <c r="AT106" s="639">
        <v>1902</v>
      </c>
    </row>
    <row r="107" spans="1:46" ht="60.75" x14ac:dyDescent="0.25">
      <c r="A107" s="81"/>
      <c r="B107" s="700" t="s">
        <v>194</v>
      </c>
      <c r="C107" s="453"/>
      <c r="D107" s="453"/>
      <c r="E107" s="184">
        <f t="shared" si="67"/>
        <v>1456.7280000000001</v>
      </c>
      <c r="F107" s="184">
        <f t="shared" si="74"/>
        <v>0</v>
      </c>
      <c r="G107" s="184">
        <f t="shared" si="74"/>
        <v>0</v>
      </c>
      <c r="H107" s="184">
        <f>L107+P107+T107+X107+AB107+AH107+AL107+AP107+AT107</f>
        <v>1456.7280000000001</v>
      </c>
      <c r="I107" s="1244">
        <f t="shared" si="68"/>
        <v>60</v>
      </c>
      <c r="J107" s="1365">
        <f>J108</f>
        <v>0</v>
      </c>
      <c r="K107" s="1365">
        <f>K108</f>
        <v>0</v>
      </c>
      <c r="L107" s="1365">
        <f>L108</f>
        <v>60</v>
      </c>
      <c r="M107" s="1244">
        <f t="shared" si="77"/>
        <v>120</v>
      </c>
      <c r="N107" s="1365">
        <f t="shared" ref="N107:P108" si="78">N108</f>
        <v>0</v>
      </c>
      <c r="O107" s="1365">
        <f t="shared" si="78"/>
        <v>0</v>
      </c>
      <c r="P107" s="1365">
        <f t="shared" si="78"/>
        <v>120</v>
      </c>
      <c r="Q107" s="1244">
        <f t="shared" si="69"/>
        <v>151.72800000000001</v>
      </c>
      <c r="R107" s="1365">
        <f>R108</f>
        <v>0</v>
      </c>
      <c r="S107" s="1365">
        <f>S108</f>
        <v>0</v>
      </c>
      <c r="T107" s="1365">
        <f>T108+T116</f>
        <v>151.72800000000001</v>
      </c>
      <c r="U107" s="1245">
        <f t="shared" si="70"/>
        <v>120</v>
      </c>
      <c r="V107" s="1284">
        <f t="shared" ref="V107:AA108" si="79">V108</f>
        <v>0</v>
      </c>
      <c r="W107" s="1284">
        <f t="shared" si="79"/>
        <v>0</v>
      </c>
      <c r="X107" s="1284">
        <f>X108+X116</f>
        <v>120</v>
      </c>
      <c r="Y107" s="1245">
        <f>Z107+AA107+AB107</f>
        <v>220</v>
      </c>
      <c r="Z107" s="1284">
        <f t="shared" si="79"/>
        <v>0</v>
      </c>
      <c r="AA107" s="1284">
        <f t="shared" si="79"/>
        <v>0</v>
      </c>
      <c r="AB107" s="1245">
        <f>AB108+AB116</f>
        <v>220</v>
      </c>
      <c r="AC107" s="702"/>
      <c r="AD107" s="702"/>
      <c r="AE107" s="703">
        <f t="shared" si="60"/>
        <v>220</v>
      </c>
      <c r="AF107" s="184">
        <f>AF108</f>
        <v>0</v>
      </c>
      <c r="AG107" s="184">
        <f>AG108</f>
        <v>0</v>
      </c>
      <c r="AH107" s="701">
        <f>AH108+AH116</f>
        <v>220</v>
      </c>
      <c r="AI107" s="877">
        <f t="shared" si="73"/>
        <v>325</v>
      </c>
      <c r="AJ107" s="730"/>
      <c r="AK107" s="730"/>
      <c r="AL107" s="1082">
        <f>AL108+AL116</f>
        <v>325</v>
      </c>
      <c r="AM107" s="730">
        <f>AN107+AO107+AP107</f>
        <v>120</v>
      </c>
      <c r="AN107" s="730">
        <f>AN108+AN116</f>
        <v>0</v>
      </c>
      <c r="AO107" s="730">
        <f>AO108+AO116</f>
        <v>0</v>
      </c>
      <c r="AP107" s="730">
        <f>AP108+AP116</f>
        <v>120</v>
      </c>
      <c r="AQ107" s="730">
        <f>AR107+AS107+AT107</f>
        <v>120</v>
      </c>
      <c r="AR107" s="730">
        <f>AR108+AR116</f>
        <v>0</v>
      </c>
      <c r="AS107" s="730">
        <f>AS108+AS116</f>
        <v>0</v>
      </c>
      <c r="AT107" s="730">
        <f>AT108+AT116</f>
        <v>120</v>
      </c>
    </row>
    <row r="108" spans="1:46" ht="90" customHeight="1" x14ac:dyDescent="0.25">
      <c r="A108" s="85" t="s">
        <v>239</v>
      </c>
      <c r="B108" s="933" t="s">
        <v>558</v>
      </c>
      <c r="C108" s="118" t="s">
        <v>63</v>
      </c>
      <c r="D108" s="118"/>
      <c r="E108" s="186">
        <f>F108+G108+H108</f>
        <v>1001.7280000000001</v>
      </c>
      <c r="F108" s="186">
        <f t="shared" si="74"/>
        <v>0</v>
      </c>
      <c r="G108" s="186">
        <f t="shared" si="74"/>
        <v>0</v>
      </c>
      <c r="H108" s="186">
        <f>L108+P108+T108+X108+AB108+AH108+AL108+AP108+AT108</f>
        <v>1001.7280000000001</v>
      </c>
      <c r="I108" s="1247">
        <f t="shared" si="68"/>
        <v>60</v>
      </c>
      <c r="J108" s="1247"/>
      <c r="K108" s="1247">
        <f>K109</f>
        <v>0</v>
      </c>
      <c r="L108" s="1247">
        <f>L109</f>
        <v>60</v>
      </c>
      <c r="M108" s="1247">
        <f t="shared" si="77"/>
        <v>120</v>
      </c>
      <c r="N108" s="1247">
        <f t="shared" si="78"/>
        <v>0</v>
      </c>
      <c r="O108" s="1247">
        <f t="shared" si="78"/>
        <v>0</v>
      </c>
      <c r="P108" s="1247">
        <f t="shared" si="78"/>
        <v>120</v>
      </c>
      <c r="Q108" s="1247">
        <f t="shared" si="69"/>
        <v>101.72799999999999</v>
      </c>
      <c r="R108" s="1247">
        <f>R109</f>
        <v>0</v>
      </c>
      <c r="S108" s="1247">
        <f>S109</f>
        <v>0</v>
      </c>
      <c r="T108" s="1247">
        <v>101.72799999999999</v>
      </c>
      <c r="U108" s="1249">
        <f t="shared" si="70"/>
        <v>120</v>
      </c>
      <c r="V108" s="1249">
        <f t="shared" si="79"/>
        <v>0</v>
      </c>
      <c r="W108" s="1249">
        <f t="shared" si="79"/>
        <v>0</v>
      </c>
      <c r="X108" s="1379">
        <f t="shared" si="79"/>
        <v>120</v>
      </c>
      <c r="Y108" s="1249">
        <f>Z108+AA108+AB108</f>
        <v>120</v>
      </c>
      <c r="Z108" s="1249">
        <f t="shared" si="79"/>
        <v>0</v>
      </c>
      <c r="AA108" s="1249">
        <f t="shared" si="79"/>
        <v>0</v>
      </c>
      <c r="AB108" s="1249">
        <f>130-10</f>
        <v>120</v>
      </c>
      <c r="AC108" s="694"/>
      <c r="AD108" s="694"/>
      <c r="AE108" s="699">
        <f t="shared" si="60"/>
        <v>120</v>
      </c>
      <c r="AF108" s="697"/>
      <c r="AG108" s="697"/>
      <c r="AH108" s="779">
        <v>120</v>
      </c>
      <c r="AI108" s="728">
        <f t="shared" si="73"/>
        <v>120</v>
      </c>
      <c r="AJ108" s="728"/>
      <c r="AK108" s="728"/>
      <c r="AL108" s="949">
        <v>120</v>
      </c>
      <c r="AM108" s="728">
        <f>AN108+AO108+AP108</f>
        <v>120</v>
      </c>
      <c r="AN108" s="728"/>
      <c r="AO108" s="728"/>
      <c r="AP108" s="728">
        <v>120</v>
      </c>
      <c r="AQ108" s="728">
        <f>AR108+AS108+AT108</f>
        <v>120</v>
      </c>
      <c r="AR108" s="728"/>
      <c r="AS108" s="728"/>
      <c r="AT108" s="728">
        <v>120</v>
      </c>
    </row>
    <row r="109" spans="1:46" ht="0.6" hidden="1" customHeight="1" x14ac:dyDescent="0.25">
      <c r="A109" s="123" t="s">
        <v>250</v>
      </c>
      <c r="B109" s="131" t="s">
        <v>266</v>
      </c>
      <c r="C109" s="132" t="s">
        <v>180</v>
      </c>
      <c r="D109" s="133"/>
      <c r="E109" s="186">
        <f t="shared" ref="E109:E116" si="80">F109+G109+H109</f>
        <v>521.72800000000007</v>
      </c>
      <c r="F109" s="186">
        <f t="shared" ref="F109:G116" si="81">J109+N109+R109+V109+Z109+AF109+AJ109</f>
        <v>0</v>
      </c>
      <c r="G109" s="186">
        <f t="shared" si="81"/>
        <v>0</v>
      </c>
      <c r="H109" s="186">
        <f t="shared" ref="H109:H116" si="82">L109+P109+T109+X109+AB109+AH109+AL109+AP109+AT109</f>
        <v>521.72800000000007</v>
      </c>
      <c r="I109" s="1346">
        <f t="shared" si="68"/>
        <v>60</v>
      </c>
      <c r="J109" s="1346"/>
      <c r="K109" s="1346">
        <f>O109+S109+Z109</f>
        <v>0</v>
      </c>
      <c r="L109" s="1346">
        <v>60</v>
      </c>
      <c r="M109" s="1346">
        <f t="shared" si="77"/>
        <v>120</v>
      </c>
      <c r="N109" s="1346"/>
      <c r="O109" s="1346"/>
      <c r="P109" s="1346">
        <v>120</v>
      </c>
      <c r="Q109" s="1247">
        <f t="shared" si="69"/>
        <v>101.72799999999999</v>
      </c>
      <c r="R109" s="1267"/>
      <c r="S109" s="1267"/>
      <c r="T109" s="1247">
        <v>101.72799999999999</v>
      </c>
      <c r="U109" s="1308">
        <f t="shared" si="70"/>
        <v>120</v>
      </c>
      <c r="V109" s="1308"/>
      <c r="W109" s="1308"/>
      <c r="X109" s="1311">
        <v>120</v>
      </c>
      <c r="Y109" s="1249">
        <f t="shared" ref="Y109:Y116" si="83">Z109+AA109+AB109</f>
        <v>120</v>
      </c>
      <c r="Z109" s="1347"/>
      <c r="AA109" s="1308"/>
      <c r="AB109" s="1347">
        <v>120</v>
      </c>
      <c r="AC109" s="174"/>
      <c r="AD109" s="174"/>
      <c r="AE109" s="699">
        <f t="shared" si="60"/>
        <v>0</v>
      </c>
      <c r="AI109" s="780">
        <f t="shared" ref="AI109:AI116" si="84">AJ109+AK109+AL109</f>
        <v>0</v>
      </c>
      <c r="AJ109" s="780"/>
      <c r="AK109" s="780"/>
      <c r="AL109" s="950"/>
      <c r="AM109" s="728">
        <f t="shared" ref="AM109:AM116" si="85">AN109+AO109+AP109</f>
        <v>0</v>
      </c>
      <c r="AN109" s="876"/>
      <c r="AO109" s="876"/>
      <c r="AP109" s="876"/>
      <c r="AQ109" s="728">
        <f t="shared" ref="AQ109:AQ116" si="86">AR109+AS109+AT109</f>
        <v>0</v>
      </c>
      <c r="AR109" s="876"/>
      <c r="AS109" s="876"/>
      <c r="AT109" s="876"/>
    </row>
    <row r="110" spans="1:46" ht="15" hidden="1" customHeight="1" x14ac:dyDescent="0.25">
      <c r="E110" s="186">
        <f t="shared" si="80"/>
        <v>101.72799999999999</v>
      </c>
      <c r="F110" s="186">
        <f t="shared" si="81"/>
        <v>0</v>
      </c>
      <c r="G110" s="186">
        <f t="shared" si="81"/>
        <v>0</v>
      </c>
      <c r="H110" s="186">
        <f t="shared" si="82"/>
        <v>101.72799999999999</v>
      </c>
      <c r="I110" s="1380"/>
      <c r="J110" s="1380"/>
      <c r="K110" s="1380"/>
      <c r="L110" s="1380"/>
      <c r="M110" s="1381"/>
      <c r="N110" s="1381"/>
      <c r="O110" s="1381"/>
      <c r="P110" s="1381"/>
      <c r="Q110" s="1247">
        <f t="shared" si="69"/>
        <v>101.72799999999999</v>
      </c>
      <c r="R110" s="1382"/>
      <c r="S110" s="1382"/>
      <c r="T110" s="1247">
        <v>101.72799999999999</v>
      </c>
      <c r="U110" s="1383"/>
      <c r="V110" s="1383"/>
      <c r="W110" s="1383"/>
      <c r="X110" s="1384"/>
      <c r="Y110" s="1249">
        <f t="shared" si="83"/>
        <v>0</v>
      </c>
      <c r="Z110" s="1385"/>
      <c r="AA110" s="1385"/>
      <c r="AB110" s="1385"/>
      <c r="AC110" s="174"/>
      <c r="AD110" s="174"/>
      <c r="AE110" s="699">
        <f t="shared" si="60"/>
        <v>0</v>
      </c>
      <c r="AI110" s="780">
        <f t="shared" si="84"/>
        <v>0</v>
      </c>
      <c r="AJ110" s="780"/>
      <c r="AK110" s="780"/>
      <c r="AL110" s="950"/>
      <c r="AM110" s="728">
        <f t="shared" si="85"/>
        <v>0</v>
      </c>
      <c r="AN110" s="876"/>
      <c r="AO110" s="876"/>
      <c r="AP110" s="876"/>
      <c r="AQ110" s="728">
        <f t="shared" si="86"/>
        <v>0</v>
      </c>
      <c r="AR110" s="876"/>
      <c r="AS110" s="876"/>
      <c r="AT110" s="876"/>
    </row>
    <row r="111" spans="1:46" ht="24.75" hidden="1" customHeight="1" x14ac:dyDescent="0.25">
      <c r="D111" s="120" t="s">
        <v>7</v>
      </c>
      <c r="E111" s="186" t="e">
        <f t="shared" si="80"/>
        <v>#REF!</v>
      </c>
      <c r="F111" s="186">
        <f t="shared" si="81"/>
        <v>0</v>
      </c>
      <c r="G111" s="186" t="e">
        <f t="shared" si="81"/>
        <v>#REF!</v>
      </c>
      <c r="H111" s="186">
        <f t="shared" si="82"/>
        <v>101.72799999999999</v>
      </c>
      <c r="I111" s="1380" t="e">
        <f>I28+#REF!+I29+#REF!+I32+#REF!+I49+#REF!+#REF!+#REF!+#REF!</f>
        <v>#REF!</v>
      </c>
      <c r="J111" s="1380"/>
      <c r="K111" s="1380" t="e">
        <f>K28+#REF!+K29+#REF!+K32+#REF!+K49+#REF!+#REF!+#REF!+#REF!</f>
        <v>#REF!</v>
      </c>
      <c r="L111" s="1380"/>
      <c r="M111" s="1381"/>
      <c r="N111" s="1381"/>
      <c r="O111" s="1381"/>
      <c r="P111" s="1381"/>
      <c r="Q111" s="1247">
        <f t="shared" si="69"/>
        <v>101.72799999999999</v>
      </c>
      <c r="R111" s="1382"/>
      <c r="S111" s="1382"/>
      <c r="T111" s="1247">
        <v>101.72799999999999</v>
      </c>
      <c r="U111" s="1383"/>
      <c r="V111" s="1383"/>
      <c r="W111" s="1383"/>
      <c r="X111" s="1384"/>
      <c r="Y111" s="1249">
        <f t="shared" si="83"/>
        <v>0</v>
      </c>
      <c r="Z111" s="1385"/>
      <c r="AA111" s="1385"/>
      <c r="AB111" s="1385"/>
      <c r="AC111" s="174"/>
      <c r="AD111" s="174"/>
      <c r="AE111" s="699">
        <f t="shared" si="60"/>
        <v>0</v>
      </c>
      <c r="AI111" s="780">
        <f t="shared" si="84"/>
        <v>0</v>
      </c>
      <c r="AJ111" s="780"/>
      <c r="AK111" s="780"/>
      <c r="AL111" s="950"/>
      <c r="AM111" s="728">
        <f t="shared" si="85"/>
        <v>0</v>
      </c>
      <c r="AN111" s="876"/>
      <c r="AO111" s="876"/>
      <c r="AP111" s="876"/>
      <c r="AQ111" s="728">
        <f t="shared" si="86"/>
        <v>0</v>
      </c>
      <c r="AR111" s="876"/>
      <c r="AS111" s="876"/>
      <c r="AT111" s="876"/>
    </row>
    <row r="112" spans="1:46" ht="24.75" hidden="1" customHeight="1" x14ac:dyDescent="0.25">
      <c r="D112" s="120" t="s">
        <v>7</v>
      </c>
      <c r="E112" s="186">
        <f t="shared" si="80"/>
        <v>7472.7280000000001</v>
      </c>
      <c r="F112" s="186">
        <f t="shared" si="81"/>
        <v>0</v>
      </c>
      <c r="G112" s="186">
        <f t="shared" si="81"/>
        <v>7371</v>
      </c>
      <c r="H112" s="186">
        <f t="shared" si="82"/>
        <v>101.72799999999999</v>
      </c>
      <c r="I112" s="1380">
        <v>7371</v>
      </c>
      <c r="J112" s="1380"/>
      <c r="K112" s="1380">
        <v>7371</v>
      </c>
      <c r="L112" s="1380"/>
      <c r="M112" s="1381"/>
      <c r="N112" s="1381"/>
      <c r="O112" s="1381"/>
      <c r="P112" s="1381"/>
      <c r="Q112" s="1247">
        <f t="shared" si="69"/>
        <v>101.72799999999999</v>
      </c>
      <c r="R112" s="1382"/>
      <c r="S112" s="1382"/>
      <c r="T112" s="1247">
        <v>101.72799999999999</v>
      </c>
      <c r="U112" s="1383"/>
      <c r="V112" s="1383"/>
      <c r="W112" s="1383"/>
      <c r="X112" s="1384"/>
      <c r="Y112" s="1249">
        <f t="shared" si="83"/>
        <v>0</v>
      </c>
      <c r="Z112" s="1385"/>
      <c r="AA112" s="1385"/>
      <c r="AB112" s="1385"/>
      <c r="AC112" s="174"/>
      <c r="AD112" s="174"/>
      <c r="AE112" s="699">
        <f t="shared" si="60"/>
        <v>0</v>
      </c>
      <c r="AI112" s="780">
        <f t="shared" si="84"/>
        <v>0</v>
      </c>
      <c r="AJ112" s="780"/>
      <c r="AK112" s="780"/>
      <c r="AL112" s="950"/>
      <c r="AM112" s="728">
        <f t="shared" si="85"/>
        <v>0</v>
      </c>
      <c r="AN112" s="876"/>
      <c r="AO112" s="876"/>
      <c r="AP112" s="876"/>
      <c r="AQ112" s="728">
        <f t="shared" si="86"/>
        <v>0</v>
      </c>
      <c r="AR112" s="876"/>
      <c r="AS112" s="876"/>
      <c r="AT112" s="876"/>
    </row>
    <row r="113" spans="1:46" ht="15" hidden="1" customHeight="1" x14ac:dyDescent="0.25">
      <c r="E113" s="186" t="e">
        <f t="shared" si="80"/>
        <v>#REF!</v>
      </c>
      <c r="F113" s="186">
        <f t="shared" si="81"/>
        <v>0</v>
      </c>
      <c r="G113" s="186" t="e">
        <f t="shared" si="81"/>
        <v>#REF!</v>
      </c>
      <c r="H113" s="186">
        <f t="shared" si="82"/>
        <v>101.72799999999999</v>
      </c>
      <c r="I113" s="1380" t="e">
        <f>I112-I111</f>
        <v>#REF!</v>
      </c>
      <c r="J113" s="1380"/>
      <c r="K113" s="1380" t="e">
        <f>K112-K111</f>
        <v>#REF!</v>
      </c>
      <c r="L113" s="1380"/>
      <c r="M113" s="1381"/>
      <c r="N113" s="1381"/>
      <c r="O113" s="1381"/>
      <c r="P113" s="1381"/>
      <c r="Q113" s="1247">
        <f t="shared" si="69"/>
        <v>101.72799999999999</v>
      </c>
      <c r="R113" s="1382"/>
      <c r="S113" s="1382"/>
      <c r="T113" s="1247">
        <v>101.72799999999999</v>
      </c>
      <c r="U113" s="1383"/>
      <c r="V113" s="1383"/>
      <c r="W113" s="1383"/>
      <c r="X113" s="1384"/>
      <c r="Y113" s="1249">
        <f t="shared" si="83"/>
        <v>0</v>
      </c>
      <c r="Z113" s="1385"/>
      <c r="AA113" s="1385"/>
      <c r="AB113" s="1385"/>
      <c r="AC113" s="174"/>
      <c r="AD113" s="174"/>
      <c r="AE113" s="699">
        <f t="shared" si="60"/>
        <v>0</v>
      </c>
      <c r="AI113" s="780">
        <f t="shared" si="84"/>
        <v>0</v>
      </c>
      <c r="AJ113" s="780"/>
      <c r="AK113" s="780"/>
      <c r="AL113" s="950"/>
      <c r="AM113" s="728">
        <f t="shared" si="85"/>
        <v>0</v>
      </c>
      <c r="AN113" s="876"/>
      <c r="AO113" s="876"/>
      <c r="AP113" s="876"/>
      <c r="AQ113" s="728">
        <f t="shared" si="86"/>
        <v>0</v>
      </c>
      <c r="AR113" s="876"/>
      <c r="AS113" s="876"/>
      <c r="AT113" s="876"/>
    </row>
    <row r="114" spans="1:46" ht="15" hidden="1" customHeight="1" x14ac:dyDescent="0.25">
      <c r="E114" s="186" t="e">
        <f t="shared" si="80"/>
        <v>#REF!</v>
      </c>
      <c r="F114" s="186">
        <f t="shared" si="81"/>
        <v>0</v>
      </c>
      <c r="G114" s="186" t="e">
        <f t="shared" si="81"/>
        <v>#REF!</v>
      </c>
      <c r="H114" s="186">
        <f t="shared" si="82"/>
        <v>101.72799999999999</v>
      </c>
      <c r="I114" s="1380" t="e">
        <f>I111+#REF!</f>
        <v>#REF!</v>
      </c>
      <c r="J114" s="1380"/>
      <c r="K114" s="1380" t="e">
        <f>K111+#REF!</f>
        <v>#REF!</v>
      </c>
      <c r="L114" s="1380"/>
      <c r="M114" s="1381"/>
      <c r="N114" s="1381"/>
      <c r="O114" s="1381"/>
      <c r="P114" s="1381"/>
      <c r="Q114" s="1247">
        <f t="shared" si="69"/>
        <v>101.72799999999999</v>
      </c>
      <c r="R114" s="1382"/>
      <c r="S114" s="1382"/>
      <c r="T114" s="1247">
        <v>101.72799999999999</v>
      </c>
      <c r="U114" s="1383"/>
      <c r="V114" s="1383"/>
      <c r="W114" s="1383"/>
      <c r="X114" s="1384"/>
      <c r="Y114" s="1249">
        <f t="shared" si="83"/>
        <v>0</v>
      </c>
      <c r="Z114" s="1385"/>
      <c r="AA114" s="1385"/>
      <c r="AB114" s="1385"/>
      <c r="AC114" s="174"/>
      <c r="AD114" s="174"/>
      <c r="AE114" s="699">
        <f t="shared" si="60"/>
        <v>0</v>
      </c>
      <c r="AI114" s="780">
        <f t="shared" si="84"/>
        <v>0</v>
      </c>
      <c r="AJ114" s="780"/>
      <c r="AK114" s="780"/>
      <c r="AL114" s="950"/>
      <c r="AM114" s="728">
        <f t="shared" si="85"/>
        <v>0</v>
      </c>
      <c r="AN114" s="876"/>
      <c r="AO114" s="876"/>
      <c r="AP114" s="876"/>
      <c r="AQ114" s="728">
        <f t="shared" si="86"/>
        <v>0</v>
      </c>
      <c r="AR114" s="876"/>
      <c r="AS114" s="876"/>
      <c r="AT114" s="876"/>
    </row>
    <row r="115" spans="1:46" ht="15" hidden="1" customHeight="1" x14ac:dyDescent="0.25">
      <c r="E115" s="186" t="e">
        <f t="shared" si="80"/>
        <v>#REF!</v>
      </c>
      <c r="F115" s="186">
        <f t="shared" si="81"/>
        <v>0</v>
      </c>
      <c r="G115" s="186" t="e">
        <f t="shared" si="81"/>
        <v>#REF!</v>
      </c>
      <c r="H115" s="186">
        <f t="shared" si="82"/>
        <v>101.72799999999999</v>
      </c>
      <c r="I115" s="1380" t="e">
        <f>I112-I114</f>
        <v>#REF!</v>
      </c>
      <c r="J115" s="1380"/>
      <c r="K115" s="1380" t="e">
        <f>K112-K114</f>
        <v>#REF!</v>
      </c>
      <c r="L115" s="1380"/>
      <c r="M115" s="1381"/>
      <c r="N115" s="1381"/>
      <c r="O115" s="1381"/>
      <c r="P115" s="1381"/>
      <c r="Q115" s="1247">
        <f t="shared" si="69"/>
        <v>101.72799999999999</v>
      </c>
      <c r="R115" s="1382"/>
      <c r="S115" s="1382"/>
      <c r="T115" s="1247">
        <v>101.72799999999999</v>
      </c>
      <c r="U115" s="1383"/>
      <c r="V115" s="1383"/>
      <c r="W115" s="1383"/>
      <c r="X115" s="1384"/>
      <c r="Y115" s="1249">
        <f t="shared" si="83"/>
        <v>0</v>
      </c>
      <c r="Z115" s="1385"/>
      <c r="AA115" s="1385"/>
      <c r="AB115" s="1385"/>
      <c r="AC115" s="174"/>
      <c r="AD115" s="174"/>
      <c r="AE115" s="699">
        <f t="shared" si="60"/>
        <v>0</v>
      </c>
      <c r="AI115" s="780">
        <f t="shared" si="84"/>
        <v>0</v>
      </c>
      <c r="AJ115" s="780"/>
      <c r="AK115" s="780"/>
      <c r="AL115" s="950"/>
      <c r="AM115" s="728">
        <f t="shared" si="85"/>
        <v>0</v>
      </c>
      <c r="AN115" s="876"/>
      <c r="AO115" s="876"/>
      <c r="AP115" s="876"/>
      <c r="AQ115" s="728">
        <f t="shared" si="86"/>
        <v>0</v>
      </c>
      <c r="AR115" s="876"/>
      <c r="AS115" s="876"/>
      <c r="AT115" s="876"/>
    </row>
    <row r="116" spans="1:46" ht="42" customHeight="1" x14ac:dyDescent="0.2">
      <c r="A116" s="85" t="s">
        <v>555</v>
      </c>
      <c r="B116" s="696" t="s">
        <v>557</v>
      </c>
      <c r="C116" s="934" t="s">
        <v>63</v>
      </c>
      <c r="D116" s="697"/>
      <c r="E116" s="186">
        <f t="shared" si="80"/>
        <v>455</v>
      </c>
      <c r="F116" s="186">
        <f t="shared" si="81"/>
        <v>0</v>
      </c>
      <c r="G116" s="186">
        <f t="shared" si="81"/>
        <v>0</v>
      </c>
      <c r="H116" s="186">
        <f t="shared" si="82"/>
        <v>455</v>
      </c>
      <c r="I116" s="1386"/>
      <c r="J116" s="1386"/>
      <c r="K116" s="1386"/>
      <c r="L116" s="1386"/>
      <c r="M116" s="1387"/>
      <c r="N116" s="1387"/>
      <c r="O116" s="1387"/>
      <c r="P116" s="1387"/>
      <c r="Q116" s="1247">
        <f t="shared" si="69"/>
        <v>50</v>
      </c>
      <c r="R116" s="1386"/>
      <c r="S116" s="1386"/>
      <c r="T116" s="1247">
        <v>50</v>
      </c>
      <c r="U116" s="1388"/>
      <c r="V116" s="1388"/>
      <c r="W116" s="1388"/>
      <c r="X116" s="1389"/>
      <c r="Y116" s="1249">
        <f t="shared" si="83"/>
        <v>100</v>
      </c>
      <c r="Z116" s="1390"/>
      <c r="AA116" s="1390"/>
      <c r="AB116" s="1391">
        <f>260-150-10</f>
        <v>100</v>
      </c>
      <c r="AC116" s="869"/>
      <c r="AD116" s="869"/>
      <c r="AE116" s="699">
        <f t="shared" si="60"/>
        <v>100</v>
      </c>
      <c r="AF116" s="870"/>
      <c r="AG116" s="870"/>
      <c r="AH116" s="953">
        <f>360-260</f>
        <v>100</v>
      </c>
      <c r="AI116" s="954">
        <f t="shared" si="84"/>
        <v>205</v>
      </c>
      <c r="AJ116" s="954"/>
      <c r="AK116" s="954"/>
      <c r="AL116" s="955">
        <v>205</v>
      </c>
      <c r="AM116" s="728">
        <f t="shared" si="85"/>
        <v>0</v>
      </c>
      <c r="AN116" s="728"/>
      <c r="AO116" s="728"/>
      <c r="AP116" s="728">
        <v>0</v>
      </c>
      <c r="AQ116" s="728">
        <f t="shared" si="86"/>
        <v>0</v>
      </c>
      <c r="AR116" s="728"/>
      <c r="AS116" s="728"/>
      <c r="AT116" s="728"/>
    </row>
    <row r="117" spans="1:46" ht="15" x14ac:dyDescent="0.25">
      <c r="E117" s="174"/>
      <c r="F117" s="174"/>
      <c r="G117" s="174"/>
      <c r="H117" s="174"/>
      <c r="I117" s="176"/>
      <c r="J117" s="176"/>
      <c r="K117" s="176"/>
      <c r="L117" s="176"/>
      <c r="M117" s="174"/>
      <c r="N117" s="174"/>
      <c r="O117" s="174"/>
      <c r="P117" s="174"/>
      <c r="Q117" s="177"/>
      <c r="R117" s="177"/>
      <c r="S117" s="177"/>
      <c r="T117" s="177"/>
      <c r="U117" s="177"/>
      <c r="V117" s="177"/>
      <c r="W117" s="177"/>
      <c r="X117" s="178"/>
      <c r="Y117" s="174"/>
      <c r="Z117" s="174"/>
      <c r="AA117" s="174"/>
      <c r="AB117" s="174"/>
      <c r="AC117" s="174"/>
      <c r="AD117" s="174"/>
      <c r="AE117" s="174"/>
      <c r="AH117" s="956"/>
      <c r="AI117" s="957"/>
      <c r="AJ117" s="957"/>
      <c r="AK117" s="957"/>
      <c r="AL117" s="1026"/>
      <c r="AM117" s="956"/>
    </row>
    <row r="118" spans="1:46" ht="15" x14ac:dyDescent="0.25">
      <c r="E118" s="174"/>
      <c r="F118" s="174"/>
      <c r="G118" s="174"/>
      <c r="H118" s="174"/>
      <c r="I118" s="176"/>
      <c r="J118" s="176"/>
      <c r="K118" s="176"/>
      <c r="L118" s="176"/>
      <c r="M118" s="174"/>
      <c r="N118" s="174"/>
      <c r="O118" s="174"/>
      <c r="P118" s="174"/>
      <c r="Q118" s="177"/>
      <c r="R118" s="177"/>
      <c r="S118" s="177"/>
      <c r="T118" s="177"/>
      <c r="U118" s="177"/>
      <c r="V118" s="177"/>
      <c r="W118" s="177"/>
      <c r="X118" s="178"/>
      <c r="Y118" s="174"/>
      <c r="Z118" s="174"/>
      <c r="AA118" s="174"/>
      <c r="AB118" s="174"/>
      <c r="AC118" s="174"/>
      <c r="AD118" s="174"/>
      <c r="AE118" s="174"/>
    </row>
    <row r="119" spans="1:46" ht="15" x14ac:dyDescent="0.25">
      <c r="E119" s="174"/>
      <c r="F119" s="174"/>
      <c r="G119" s="174"/>
      <c r="H119" s="174"/>
      <c r="I119" s="176"/>
      <c r="J119" s="176"/>
      <c r="K119" s="176"/>
      <c r="L119" s="176"/>
      <c r="M119" s="174"/>
      <c r="N119" s="174"/>
      <c r="O119" s="174"/>
      <c r="P119" s="174"/>
      <c r="Q119" s="177"/>
      <c r="R119" s="177"/>
      <c r="S119" s="177"/>
      <c r="T119" s="177"/>
      <c r="U119" s="177"/>
      <c r="V119" s="177"/>
      <c r="W119" s="177"/>
      <c r="X119" s="178"/>
      <c r="Y119" s="174"/>
      <c r="Z119" s="174"/>
      <c r="AA119" s="174"/>
      <c r="AB119" s="174"/>
      <c r="AC119" s="174"/>
      <c r="AD119" s="174"/>
      <c r="AE119" s="174"/>
    </row>
  </sheetData>
  <mergeCells count="24">
    <mergeCell ref="BP5:BS5"/>
    <mergeCell ref="AW5:AY5"/>
    <mergeCell ref="AZ5:BB5"/>
    <mergeCell ref="BE5:BG5"/>
    <mergeCell ref="BI5:BK5"/>
    <mergeCell ref="BM5:BO5"/>
    <mergeCell ref="AU14:AV14"/>
    <mergeCell ref="AW14:AX14"/>
    <mergeCell ref="AY14:AZ14"/>
    <mergeCell ref="AM9:AP9"/>
    <mergeCell ref="AI9:AL9"/>
    <mergeCell ref="AQ9:AT9"/>
    <mergeCell ref="AJ5:AT5"/>
    <mergeCell ref="AE9:AH9"/>
    <mergeCell ref="Y9:AB9"/>
    <mergeCell ref="B7:X7"/>
    <mergeCell ref="C27:C28"/>
    <mergeCell ref="B5:X5"/>
    <mergeCell ref="Q9:T9"/>
    <mergeCell ref="A9:C9"/>
    <mergeCell ref="E9:H9"/>
    <mergeCell ref="I9:L9"/>
    <mergeCell ref="U9:X9"/>
    <mergeCell ref="M9:P9"/>
  </mergeCells>
  <pageMargins left="0" right="0" top="0" bottom="0" header="0.31496062992125984" footer="0.31496062992125984"/>
  <pageSetup paperSize="9" scale="39" orientation="landscape" r:id="rId1"/>
  <rowBreaks count="4" manualBreakCount="4">
    <brk id="39" max="45" man="1"/>
    <brk id="70" max="45" man="1"/>
    <brk id="101" max="45" man="1"/>
    <brk id="117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14999847407452621"/>
  </sheetPr>
  <dimension ref="A1:AS272"/>
  <sheetViews>
    <sheetView view="pageBreakPreview" zoomScale="90" zoomScaleNormal="84" zoomScaleSheetLayoutView="90" workbookViewId="0">
      <pane xSplit="3" ySplit="5" topLeftCell="AL262" activePane="bottomRight" state="frozen"/>
      <selection pane="topRight" activeCell="D1" sqref="D1"/>
      <selection pane="bottomLeft" activeCell="A6" sqref="A6"/>
      <selection pane="bottomRight" activeCell="AO267" sqref="AO267"/>
    </sheetView>
  </sheetViews>
  <sheetFormatPr defaultColWidth="8" defaultRowHeight="12" x14ac:dyDescent="0.2"/>
  <cols>
    <col min="1" max="1" width="7" style="134" customWidth="1"/>
    <col min="2" max="2" width="32.85546875" style="77" customWidth="1"/>
    <col min="3" max="3" width="13.7109375" style="77" customWidth="1"/>
    <col min="4" max="4" width="11.140625" style="77" customWidth="1"/>
    <col min="5" max="5" width="9.5703125" style="77" customWidth="1"/>
    <col min="6" max="6" width="10" style="77" customWidth="1"/>
    <col min="7" max="7" width="10.42578125" style="77" customWidth="1"/>
    <col min="8" max="8" width="5.7109375" style="77" customWidth="1"/>
    <col min="9" max="9" width="6.7109375" style="77" customWidth="1"/>
    <col min="10" max="10" width="3.5703125" style="77" customWidth="1"/>
    <col min="11" max="11" width="7" style="77" customWidth="1"/>
    <col min="12" max="12" width="6.85546875" style="78" customWidth="1"/>
    <col min="13" max="13" width="7.140625" style="78" customWidth="1"/>
    <col min="14" max="14" width="4.85546875" style="78" customWidth="1"/>
    <col min="15" max="15" width="6.42578125" style="135" customWidth="1"/>
    <col min="16" max="16" width="5.85546875" style="135" customWidth="1"/>
    <col min="17" max="17" width="7.85546875" style="135" customWidth="1"/>
    <col min="18" max="18" width="6" style="135" customWidth="1"/>
    <col min="19" max="19" width="6.85546875" style="135" customWidth="1"/>
    <col min="20" max="21" width="6.5703125" style="135" customWidth="1"/>
    <col min="22" max="22" width="3.85546875" style="135" customWidth="1"/>
    <col min="23" max="23" width="6.85546875" style="135" customWidth="1"/>
    <col min="24" max="24" width="7.28515625" style="135" customWidth="1"/>
    <col min="25" max="25" width="7.140625" style="77" customWidth="1"/>
    <col min="26" max="26" width="4" style="77" customWidth="1"/>
    <col min="27" max="28" width="6.5703125" style="77" customWidth="1"/>
    <col min="29" max="29" width="8.85546875" style="77" customWidth="1"/>
    <col min="30" max="30" width="8.5703125" style="77" customWidth="1"/>
    <col min="31" max="31" width="9" style="77" customWidth="1"/>
    <col min="32" max="32" width="8.85546875" style="77" customWidth="1"/>
    <col min="33" max="33" width="7.28515625" style="77" customWidth="1"/>
    <col min="34" max="34" width="9.7109375" style="77" customWidth="1"/>
    <col min="35" max="35" width="8.7109375" style="77" customWidth="1"/>
    <col min="36" max="36" width="9.140625" style="77" customWidth="1"/>
    <col min="37" max="37" width="9" style="77" customWidth="1"/>
    <col min="38" max="38" width="10.140625" style="77" bestFit="1" customWidth="1"/>
    <col min="39" max="39" width="10" style="77" customWidth="1"/>
    <col min="40" max="40" width="9.5703125" style="77" customWidth="1"/>
    <col min="41" max="41" width="10.5703125" style="77" customWidth="1"/>
    <col min="42" max="42" width="9" style="77" customWidth="1"/>
    <col min="43" max="43" width="8.5703125" style="77" customWidth="1"/>
    <col min="44" max="44" width="8.42578125" style="77" customWidth="1"/>
    <col min="45" max="45" width="8.140625" style="77" customWidth="1"/>
    <col min="46" max="257" width="8" style="77"/>
    <col min="258" max="258" width="6" style="77" customWidth="1"/>
    <col min="259" max="259" width="30.140625" style="77" customWidth="1"/>
    <col min="260" max="260" width="13.42578125" style="77" customWidth="1"/>
    <col min="261" max="261" width="10.42578125" style="77" customWidth="1"/>
    <col min="262" max="262" width="10.140625" style="77" customWidth="1"/>
    <col min="263" max="265" width="9.28515625" style="77" customWidth="1"/>
    <col min="266" max="266" width="9" style="77" customWidth="1"/>
    <col min="267" max="267" width="9.140625" style="77" customWidth="1"/>
    <col min="268" max="268" width="10.5703125" style="77" customWidth="1"/>
    <col min="269" max="269" width="10.140625" style="77" customWidth="1"/>
    <col min="270" max="275" width="9.28515625" style="77" customWidth="1"/>
    <col min="276" max="281" width="0" style="77" hidden="1" customWidth="1"/>
    <col min="282" max="282" width="8" style="77"/>
    <col min="283" max="283" width="9.140625" style="77" bestFit="1" customWidth="1"/>
    <col min="284" max="513" width="8" style="77"/>
    <col min="514" max="514" width="6" style="77" customWidth="1"/>
    <col min="515" max="515" width="30.140625" style="77" customWidth="1"/>
    <col min="516" max="516" width="13.42578125" style="77" customWidth="1"/>
    <col min="517" max="517" width="10.42578125" style="77" customWidth="1"/>
    <col min="518" max="518" width="10.140625" style="77" customWidth="1"/>
    <col min="519" max="521" width="9.28515625" style="77" customWidth="1"/>
    <col min="522" max="522" width="9" style="77" customWidth="1"/>
    <col min="523" max="523" width="9.140625" style="77" customWidth="1"/>
    <col min="524" max="524" width="10.5703125" style="77" customWidth="1"/>
    <col min="525" max="525" width="10.140625" style="77" customWidth="1"/>
    <col min="526" max="531" width="9.28515625" style="77" customWidth="1"/>
    <col min="532" max="537" width="0" style="77" hidden="1" customWidth="1"/>
    <col min="538" max="538" width="8" style="77"/>
    <col min="539" max="539" width="9.140625" style="77" bestFit="1" customWidth="1"/>
    <col min="540" max="769" width="8" style="77"/>
    <col min="770" max="770" width="6" style="77" customWidth="1"/>
    <col min="771" max="771" width="30.140625" style="77" customWidth="1"/>
    <col min="772" max="772" width="13.42578125" style="77" customWidth="1"/>
    <col min="773" max="773" width="10.42578125" style="77" customWidth="1"/>
    <col min="774" max="774" width="10.140625" style="77" customWidth="1"/>
    <col min="775" max="777" width="9.28515625" style="77" customWidth="1"/>
    <col min="778" max="778" width="9" style="77" customWidth="1"/>
    <col min="779" max="779" width="9.140625" style="77" customWidth="1"/>
    <col min="780" max="780" width="10.5703125" style="77" customWidth="1"/>
    <col min="781" max="781" width="10.140625" style="77" customWidth="1"/>
    <col min="782" max="787" width="9.28515625" style="77" customWidth="1"/>
    <col min="788" max="793" width="0" style="77" hidden="1" customWidth="1"/>
    <col min="794" max="794" width="8" style="77"/>
    <col min="795" max="795" width="9.140625" style="77" bestFit="1" customWidth="1"/>
    <col min="796" max="1025" width="8" style="77"/>
    <col min="1026" max="1026" width="6" style="77" customWidth="1"/>
    <col min="1027" max="1027" width="30.140625" style="77" customWidth="1"/>
    <col min="1028" max="1028" width="13.42578125" style="77" customWidth="1"/>
    <col min="1029" max="1029" width="10.42578125" style="77" customWidth="1"/>
    <col min="1030" max="1030" width="10.140625" style="77" customWidth="1"/>
    <col min="1031" max="1033" width="9.28515625" style="77" customWidth="1"/>
    <col min="1034" max="1034" width="9" style="77" customWidth="1"/>
    <col min="1035" max="1035" width="9.140625" style="77" customWidth="1"/>
    <col min="1036" max="1036" width="10.5703125" style="77" customWidth="1"/>
    <col min="1037" max="1037" width="10.140625" style="77" customWidth="1"/>
    <col min="1038" max="1043" width="9.28515625" style="77" customWidth="1"/>
    <col min="1044" max="1049" width="0" style="77" hidden="1" customWidth="1"/>
    <col min="1050" max="1050" width="8" style="77"/>
    <col min="1051" max="1051" width="9.140625" style="77" bestFit="1" customWidth="1"/>
    <col min="1052" max="1281" width="8" style="77"/>
    <col min="1282" max="1282" width="6" style="77" customWidth="1"/>
    <col min="1283" max="1283" width="30.140625" style="77" customWidth="1"/>
    <col min="1284" max="1284" width="13.42578125" style="77" customWidth="1"/>
    <col min="1285" max="1285" width="10.42578125" style="77" customWidth="1"/>
    <col min="1286" max="1286" width="10.140625" style="77" customWidth="1"/>
    <col min="1287" max="1289" width="9.28515625" style="77" customWidth="1"/>
    <col min="1290" max="1290" width="9" style="77" customWidth="1"/>
    <col min="1291" max="1291" width="9.140625" style="77" customWidth="1"/>
    <col min="1292" max="1292" width="10.5703125" style="77" customWidth="1"/>
    <col min="1293" max="1293" width="10.140625" style="77" customWidth="1"/>
    <col min="1294" max="1299" width="9.28515625" style="77" customWidth="1"/>
    <col min="1300" max="1305" width="0" style="77" hidden="1" customWidth="1"/>
    <col min="1306" max="1306" width="8" style="77"/>
    <col min="1307" max="1307" width="9.140625" style="77" bestFit="1" customWidth="1"/>
    <col min="1308" max="1537" width="8" style="77"/>
    <col min="1538" max="1538" width="6" style="77" customWidth="1"/>
    <col min="1539" max="1539" width="30.140625" style="77" customWidth="1"/>
    <col min="1540" max="1540" width="13.42578125" style="77" customWidth="1"/>
    <col min="1541" max="1541" width="10.42578125" style="77" customWidth="1"/>
    <col min="1542" max="1542" width="10.140625" style="77" customWidth="1"/>
    <col min="1543" max="1545" width="9.28515625" style="77" customWidth="1"/>
    <col min="1546" max="1546" width="9" style="77" customWidth="1"/>
    <col min="1547" max="1547" width="9.140625" style="77" customWidth="1"/>
    <col min="1548" max="1548" width="10.5703125" style="77" customWidth="1"/>
    <col min="1549" max="1549" width="10.140625" style="77" customWidth="1"/>
    <col min="1550" max="1555" width="9.28515625" style="77" customWidth="1"/>
    <col min="1556" max="1561" width="0" style="77" hidden="1" customWidth="1"/>
    <col min="1562" max="1562" width="8" style="77"/>
    <col min="1563" max="1563" width="9.140625" style="77" bestFit="1" customWidth="1"/>
    <col min="1564" max="1793" width="8" style="77"/>
    <col min="1794" max="1794" width="6" style="77" customWidth="1"/>
    <col min="1795" max="1795" width="30.140625" style="77" customWidth="1"/>
    <col min="1796" max="1796" width="13.42578125" style="77" customWidth="1"/>
    <col min="1797" max="1797" width="10.42578125" style="77" customWidth="1"/>
    <col min="1798" max="1798" width="10.140625" style="77" customWidth="1"/>
    <col min="1799" max="1801" width="9.28515625" style="77" customWidth="1"/>
    <col min="1802" max="1802" width="9" style="77" customWidth="1"/>
    <col min="1803" max="1803" width="9.140625" style="77" customWidth="1"/>
    <col min="1804" max="1804" width="10.5703125" style="77" customWidth="1"/>
    <col min="1805" max="1805" width="10.140625" style="77" customWidth="1"/>
    <col min="1806" max="1811" width="9.28515625" style="77" customWidth="1"/>
    <col min="1812" max="1817" width="0" style="77" hidden="1" customWidth="1"/>
    <col min="1818" max="1818" width="8" style="77"/>
    <col min="1819" max="1819" width="9.140625" style="77" bestFit="1" customWidth="1"/>
    <col min="1820" max="2049" width="8" style="77"/>
    <col min="2050" max="2050" width="6" style="77" customWidth="1"/>
    <col min="2051" max="2051" width="30.140625" style="77" customWidth="1"/>
    <col min="2052" max="2052" width="13.42578125" style="77" customWidth="1"/>
    <col min="2053" max="2053" width="10.42578125" style="77" customWidth="1"/>
    <col min="2054" max="2054" width="10.140625" style="77" customWidth="1"/>
    <col min="2055" max="2057" width="9.28515625" style="77" customWidth="1"/>
    <col min="2058" max="2058" width="9" style="77" customWidth="1"/>
    <col min="2059" max="2059" width="9.140625" style="77" customWidth="1"/>
    <col min="2060" max="2060" width="10.5703125" style="77" customWidth="1"/>
    <col min="2061" max="2061" width="10.140625" style="77" customWidth="1"/>
    <col min="2062" max="2067" width="9.28515625" style="77" customWidth="1"/>
    <col min="2068" max="2073" width="0" style="77" hidden="1" customWidth="1"/>
    <col min="2074" max="2074" width="8" style="77"/>
    <col min="2075" max="2075" width="9.140625" style="77" bestFit="1" customWidth="1"/>
    <col min="2076" max="2305" width="8" style="77"/>
    <col min="2306" max="2306" width="6" style="77" customWidth="1"/>
    <col min="2307" max="2307" width="30.140625" style="77" customWidth="1"/>
    <col min="2308" max="2308" width="13.42578125" style="77" customWidth="1"/>
    <col min="2309" max="2309" width="10.42578125" style="77" customWidth="1"/>
    <col min="2310" max="2310" width="10.140625" style="77" customWidth="1"/>
    <col min="2311" max="2313" width="9.28515625" style="77" customWidth="1"/>
    <col min="2314" max="2314" width="9" style="77" customWidth="1"/>
    <col min="2315" max="2315" width="9.140625" style="77" customWidth="1"/>
    <col min="2316" max="2316" width="10.5703125" style="77" customWidth="1"/>
    <col min="2317" max="2317" width="10.140625" style="77" customWidth="1"/>
    <col min="2318" max="2323" width="9.28515625" style="77" customWidth="1"/>
    <col min="2324" max="2329" width="0" style="77" hidden="1" customWidth="1"/>
    <col min="2330" max="2330" width="8" style="77"/>
    <col min="2331" max="2331" width="9.140625" style="77" bestFit="1" customWidth="1"/>
    <col min="2332" max="2561" width="8" style="77"/>
    <col min="2562" max="2562" width="6" style="77" customWidth="1"/>
    <col min="2563" max="2563" width="30.140625" style="77" customWidth="1"/>
    <col min="2564" max="2564" width="13.42578125" style="77" customWidth="1"/>
    <col min="2565" max="2565" width="10.42578125" style="77" customWidth="1"/>
    <col min="2566" max="2566" width="10.140625" style="77" customWidth="1"/>
    <col min="2567" max="2569" width="9.28515625" style="77" customWidth="1"/>
    <col min="2570" max="2570" width="9" style="77" customWidth="1"/>
    <col min="2571" max="2571" width="9.140625" style="77" customWidth="1"/>
    <col min="2572" max="2572" width="10.5703125" style="77" customWidth="1"/>
    <col min="2573" max="2573" width="10.140625" style="77" customWidth="1"/>
    <col min="2574" max="2579" width="9.28515625" style="77" customWidth="1"/>
    <col min="2580" max="2585" width="0" style="77" hidden="1" customWidth="1"/>
    <col min="2586" max="2586" width="8" style="77"/>
    <col min="2587" max="2587" width="9.140625" style="77" bestFit="1" customWidth="1"/>
    <col min="2588" max="2817" width="8" style="77"/>
    <col min="2818" max="2818" width="6" style="77" customWidth="1"/>
    <col min="2819" max="2819" width="30.140625" style="77" customWidth="1"/>
    <col min="2820" max="2820" width="13.42578125" style="77" customWidth="1"/>
    <col min="2821" max="2821" width="10.42578125" style="77" customWidth="1"/>
    <col min="2822" max="2822" width="10.140625" style="77" customWidth="1"/>
    <col min="2823" max="2825" width="9.28515625" style="77" customWidth="1"/>
    <col min="2826" max="2826" width="9" style="77" customWidth="1"/>
    <col min="2827" max="2827" width="9.140625" style="77" customWidth="1"/>
    <col min="2828" max="2828" width="10.5703125" style="77" customWidth="1"/>
    <col min="2829" max="2829" width="10.140625" style="77" customWidth="1"/>
    <col min="2830" max="2835" width="9.28515625" style="77" customWidth="1"/>
    <col min="2836" max="2841" width="0" style="77" hidden="1" customWidth="1"/>
    <col min="2842" max="2842" width="8" style="77"/>
    <col min="2843" max="2843" width="9.140625" style="77" bestFit="1" customWidth="1"/>
    <col min="2844" max="3073" width="8" style="77"/>
    <col min="3074" max="3074" width="6" style="77" customWidth="1"/>
    <col min="3075" max="3075" width="30.140625" style="77" customWidth="1"/>
    <col min="3076" max="3076" width="13.42578125" style="77" customWidth="1"/>
    <col min="3077" max="3077" width="10.42578125" style="77" customWidth="1"/>
    <col min="3078" max="3078" width="10.140625" style="77" customWidth="1"/>
    <col min="3079" max="3081" width="9.28515625" style="77" customWidth="1"/>
    <col min="3082" max="3082" width="9" style="77" customWidth="1"/>
    <col min="3083" max="3083" width="9.140625" style="77" customWidth="1"/>
    <col min="3084" max="3084" width="10.5703125" style="77" customWidth="1"/>
    <col min="3085" max="3085" width="10.140625" style="77" customWidth="1"/>
    <col min="3086" max="3091" width="9.28515625" style="77" customWidth="1"/>
    <col min="3092" max="3097" width="0" style="77" hidden="1" customWidth="1"/>
    <col min="3098" max="3098" width="8" style="77"/>
    <col min="3099" max="3099" width="9.140625" style="77" bestFit="1" customWidth="1"/>
    <col min="3100" max="3329" width="8" style="77"/>
    <col min="3330" max="3330" width="6" style="77" customWidth="1"/>
    <col min="3331" max="3331" width="30.140625" style="77" customWidth="1"/>
    <col min="3332" max="3332" width="13.42578125" style="77" customWidth="1"/>
    <col min="3333" max="3333" width="10.42578125" style="77" customWidth="1"/>
    <col min="3334" max="3334" width="10.140625" style="77" customWidth="1"/>
    <col min="3335" max="3337" width="9.28515625" style="77" customWidth="1"/>
    <col min="3338" max="3338" width="9" style="77" customWidth="1"/>
    <col min="3339" max="3339" width="9.140625" style="77" customWidth="1"/>
    <col min="3340" max="3340" width="10.5703125" style="77" customWidth="1"/>
    <col min="3341" max="3341" width="10.140625" style="77" customWidth="1"/>
    <col min="3342" max="3347" width="9.28515625" style="77" customWidth="1"/>
    <col min="3348" max="3353" width="0" style="77" hidden="1" customWidth="1"/>
    <col min="3354" max="3354" width="8" style="77"/>
    <col min="3355" max="3355" width="9.140625" style="77" bestFit="1" customWidth="1"/>
    <col min="3356" max="3585" width="8" style="77"/>
    <col min="3586" max="3586" width="6" style="77" customWidth="1"/>
    <col min="3587" max="3587" width="30.140625" style="77" customWidth="1"/>
    <col min="3588" max="3588" width="13.42578125" style="77" customWidth="1"/>
    <col min="3589" max="3589" width="10.42578125" style="77" customWidth="1"/>
    <col min="3590" max="3590" width="10.140625" style="77" customWidth="1"/>
    <col min="3591" max="3593" width="9.28515625" style="77" customWidth="1"/>
    <col min="3594" max="3594" width="9" style="77" customWidth="1"/>
    <col min="3595" max="3595" width="9.140625" style="77" customWidth="1"/>
    <col min="3596" max="3596" width="10.5703125" style="77" customWidth="1"/>
    <col min="3597" max="3597" width="10.140625" style="77" customWidth="1"/>
    <col min="3598" max="3603" width="9.28515625" style="77" customWidth="1"/>
    <col min="3604" max="3609" width="0" style="77" hidden="1" customWidth="1"/>
    <col min="3610" max="3610" width="8" style="77"/>
    <col min="3611" max="3611" width="9.140625" style="77" bestFit="1" customWidth="1"/>
    <col min="3612" max="3841" width="8" style="77"/>
    <col min="3842" max="3842" width="6" style="77" customWidth="1"/>
    <col min="3843" max="3843" width="30.140625" style="77" customWidth="1"/>
    <col min="3844" max="3844" width="13.42578125" style="77" customWidth="1"/>
    <col min="3845" max="3845" width="10.42578125" style="77" customWidth="1"/>
    <col min="3846" max="3846" width="10.140625" style="77" customWidth="1"/>
    <col min="3847" max="3849" width="9.28515625" style="77" customWidth="1"/>
    <col min="3850" max="3850" width="9" style="77" customWidth="1"/>
    <col min="3851" max="3851" width="9.140625" style="77" customWidth="1"/>
    <col min="3852" max="3852" width="10.5703125" style="77" customWidth="1"/>
    <col min="3853" max="3853" width="10.140625" style="77" customWidth="1"/>
    <col min="3854" max="3859" width="9.28515625" style="77" customWidth="1"/>
    <col min="3860" max="3865" width="0" style="77" hidden="1" customWidth="1"/>
    <col min="3866" max="3866" width="8" style="77"/>
    <col min="3867" max="3867" width="9.140625" style="77" bestFit="1" customWidth="1"/>
    <col min="3868" max="4097" width="8" style="77"/>
    <col min="4098" max="4098" width="6" style="77" customWidth="1"/>
    <col min="4099" max="4099" width="30.140625" style="77" customWidth="1"/>
    <col min="4100" max="4100" width="13.42578125" style="77" customWidth="1"/>
    <col min="4101" max="4101" width="10.42578125" style="77" customWidth="1"/>
    <col min="4102" max="4102" width="10.140625" style="77" customWidth="1"/>
    <col min="4103" max="4105" width="9.28515625" style="77" customWidth="1"/>
    <col min="4106" max="4106" width="9" style="77" customWidth="1"/>
    <col min="4107" max="4107" width="9.140625" style="77" customWidth="1"/>
    <col min="4108" max="4108" width="10.5703125" style="77" customWidth="1"/>
    <col min="4109" max="4109" width="10.140625" style="77" customWidth="1"/>
    <col min="4110" max="4115" width="9.28515625" style="77" customWidth="1"/>
    <col min="4116" max="4121" width="0" style="77" hidden="1" customWidth="1"/>
    <col min="4122" max="4122" width="8" style="77"/>
    <col min="4123" max="4123" width="9.140625" style="77" bestFit="1" customWidth="1"/>
    <col min="4124" max="4353" width="8" style="77"/>
    <col min="4354" max="4354" width="6" style="77" customWidth="1"/>
    <col min="4355" max="4355" width="30.140625" style="77" customWidth="1"/>
    <col min="4356" max="4356" width="13.42578125" style="77" customWidth="1"/>
    <col min="4357" max="4357" width="10.42578125" style="77" customWidth="1"/>
    <col min="4358" max="4358" width="10.140625" style="77" customWidth="1"/>
    <col min="4359" max="4361" width="9.28515625" style="77" customWidth="1"/>
    <col min="4362" max="4362" width="9" style="77" customWidth="1"/>
    <col min="4363" max="4363" width="9.140625" style="77" customWidth="1"/>
    <col min="4364" max="4364" width="10.5703125" style="77" customWidth="1"/>
    <col min="4365" max="4365" width="10.140625" style="77" customWidth="1"/>
    <col min="4366" max="4371" width="9.28515625" style="77" customWidth="1"/>
    <col min="4372" max="4377" width="0" style="77" hidden="1" customWidth="1"/>
    <col min="4378" max="4378" width="8" style="77"/>
    <col min="4379" max="4379" width="9.140625" style="77" bestFit="1" customWidth="1"/>
    <col min="4380" max="4609" width="8" style="77"/>
    <col min="4610" max="4610" width="6" style="77" customWidth="1"/>
    <col min="4611" max="4611" width="30.140625" style="77" customWidth="1"/>
    <col min="4612" max="4612" width="13.42578125" style="77" customWidth="1"/>
    <col min="4613" max="4613" width="10.42578125" style="77" customWidth="1"/>
    <col min="4614" max="4614" width="10.140625" style="77" customWidth="1"/>
    <col min="4615" max="4617" width="9.28515625" style="77" customWidth="1"/>
    <col min="4618" max="4618" width="9" style="77" customWidth="1"/>
    <col min="4619" max="4619" width="9.140625" style="77" customWidth="1"/>
    <col min="4620" max="4620" width="10.5703125" style="77" customWidth="1"/>
    <col min="4621" max="4621" width="10.140625" style="77" customWidth="1"/>
    <col min="4622" max="4627" width="9.28515625" style="77" customWidth="1"/>
    <col min="4628" max="4633" width="0" style="77" hidden="1" customWidth="1"/>
    <col min="4634" max="4634" width="8" style="77"/>
    <col min="4635" max="4635" width="9.140625" style="77" bestFit="1" customWidth="1"/>
    <col min="4636" max="4865" width="8" style="77"/>
    <col min="4866" max="4866" width="6" style="77" customWidth="1"/>
    <col min="4867" max="4867" width="30.140625" style="77" customWidth="1"/>
    <col min="4868" max="4868" width="13.42578125" style="77" customWidth="1"/>
    <col min="4869" max="4869" width="10.42578125" style="77" customWidth="1"/>
    <col min="4870" max="4870" width="10.140625" style="77" customWidth="1"/>
    <col min="4871" max="4873" width="9.28515625" style="77" customWidth="1"/>
    <col min="4874" max="4874" width="9" style="77" customWidth="1"/>
    <col min="4875" max="4875" width="9.140625" style="77" customWidth="1"/>
    <col min="4876" max="4876" width="10.5703125" style="77" customWidth="1"/>
    <col min="4877" max="4877" width="10.140625" style="77" customWidth="1"/>
    <col min="4878" max="4883" width="9.28515625" style="77" customWidth="1"/>
    <col min="4884" max="4889" width="0" style="77" hidden="1" customWidth="1"/>
    <col min="4890" max="4890" width="8" style="77"/>
    <col min="4891" max="4891" width="9.140625" style="77" bestFit="1" customWidth="1"/>
    <col min="4892" max="5121" width="8" style="77"/>
    <col min="5122" max="5122" width="6" style="77" customWidth="1"/>
    <col min="5123" max="5123" width="30.140625" style="77" customWidth="1"/>
    <col min="5124" max="5124" width="13.42578125" style="77" customWidth="1"/>
    <col min="5125" max="5125" width="10.42578125" style="77" customWidth="1"/>
    <col min="5126" max="5126" width="10.140625" style="77" customWidth="1"/>
    <col min="5127" max="5129" width="9.28515625" style="77" customWidth="1"/>
    <col min="5130" max="5130" width="9" style="77" customWidth="1"/>
    <col min="5131" max="5131" width="9.140625" style="77" customWidth="1"/>
    <col min="5132" max="5132" width="10.5703125" style="77" customWidth="1"/>
    <col min="5133" max="5133" width="10.140625" style="77" customWidth="1"/>
    <col min="5134" max="5139" width="9.28515625" style="77" customWidth="1"/>
    <col min="5140" max="5145" width="0" style="77" hidden="1" customWidth="1"/>
    <col min="5146" max="5146" width="8" style="77"/>
    <col min="5147" max="5147" width="9.140625" style="77" bestFit="1" customWidth="1"/>
    <col min="5148" max="5377" width="8" style="77"/>
    <col min="5378" max="5378" width="6" style="77" customWidth="1"/>
    <col min="5379" max="5379" width="30.140625" style="77" customWidth="1"/>
    <col min="5380" max="5380" width="13.42578125" style="77" customWidth="1"/>
    <col min="5381" max="5381" width="10.42578125" style="77" customWidth="1"/>
    <col min="5382" max="5382" width="10.140625" style="77" customWidth="1"/>
    <col min="5383" max="5385" width="9.28515625" style="77" customWidth="1"/>
    <col min="5386" max="5386" width="9" style="77" customWidth="1"/>
    <col min="5387" max="5387" width="9.140625" style="77" customWidth="1"/>
    <col min="5388" max="5388" width="10.5703125" style="77" customWidth="1"/>
    <col min="5389" max="5389" width="10.140625" style="77" customWidth="1"/>
    <col min="5390" max="5395" width="9.28515625" style="77" customWidth="1"/>
    <col min="5396" max="5401" width="0" style="77" hidden="1" customWidth="1"/>
    <col min="5402" max="5402" width="8" style="77"/>
    <col min="5403" max="5403" width="9.140625" style="77" bestFit="1" customWidth="1"/>
    <col min="5404" max="5633" width="8" style="77"/>
    <col min="5634" max="5634" width="6" style="77" customWidth="1"/>
    <col min="5635" max="5635" width="30.140625" style="77" customWidth="1"/>
    <col min="5636" max="5636" width="13.42578125" style="77" customWidth="1"/>
    <col min="5637" max="5637" width="10.42578125" style="77" customWidth="1"/>
    <col min="5638" max="5638" width="10.140625" style="77" customWidth="1"/>
    <col min="5639" max="5641" width="9.28515625" style="77" customWidth="1"/>
    <col min="5642" max="5642" width="9" style="77" customWidth="1"/>
    <col min="5643" max="5643" width="9.140625" style="77" customWidth="1"/>
    <col min="5644" max="5644" width="10.5703125" style="77" customWidth="1"/>
    <col min="5645" max="5645" width="10.140625" style="77" customWidth="1"/>
    <col min="5646" max="5651" width="9.28515625" style="77" customWidth="1"/>
    <col min="5652" max="5657" width="0" style="77" hidden="1" customWidth="1"/>
    <col min="5658" max="5658" width="8" style="77"/>
    <col min="5659" max="5659" width="9.140625" style="77" bestFit="1" customWidth="1"/>
    <col min="5660" max="5889" width="8" style="77"/>
    <col min="5890" max="5890" width="6" style="77" customWidth="1"/>
    <col min="5891" max="5891" width="30.140625" style="77" customWidth="1"/>
    <col min="5892" max="5892" width="13.42578125" style="77" customWidth="1"/>
    <col min="5893" max="5893" width="10.42578125" style="77" customWidth="1"/>
    <col min="5894" max="5894" width="10.140625" style="77" customWidth="1"/>
    <col min="5895" max="5897" width="9.28515625" style="77" customWidth="1"/>
    <col min="5898" max="5898" width="9" style="77" customWidth="1"/>
    <col min="5899" max="5899" width="9.140625" style="77" customWidth="1"/>
    <col min="5900" max="5900" width="10.5703125" style="77" customWidth="1"/>
    <col min="5901" max="5901" width="10.140625" style="77" customWidth="1"/>
    <col min="5902" max="5907" width="9.28515625" style="77" customWidth="1"/>
    <col min="5908" max="5913" width="0" style="77" hidden="1" customWidth="1"/>
    <col min="5914" max="5914" width="8" style="77"/>
    <col min="5915" max="5915" width="9.140625" style="77" bestFit="1" customWidth="1"/>
    <col min="5916" max="6145" width="8" style="77"/>
    <col min="6146" max="6146" width="6" style="77" customWidth="1"/>
    <col min="6147" max="6147" width="30.140625" style="77" customWidth="1"/>
    <col min="6148" max="6148" width="13.42578125" style="77" customWidth="1"/>
    <col min="6149" max="6149" width="10.42578125" style="77" customWidth="1"/>
    <col min="6150" max="6150" width="10.140625" style="77" customWidth="1"/>
    <col min="6151" max="6153" width="9.28515625" style="77" customWidth="1"/>
    <col min="6154" max="6154" width="9" style="77" customWidth="1"/>
    <col min="6155" max="6155" width="9.140625" style="77" customWidth="1"/>
    <col min="6156" max="6156" width="10.5703125" style="77" customWidth="1"/>
    <col min="6157" max="6157" width="10.140625" style="77" customWidth="1"/>
    <col min="6158" max="6163" width="9.28515625" style="77" customWidth="1"/>
    <col min="6164" max="6169" width="0" style="77" hidden="1" customWidth="1"/>
    <col min="6170" max="6170" width="8" style="77"/>
    <col min="6171" max="6171" width="9.140625" style="77" bestFit="1" customWidth="1"/>
    <col min="6172" max="6401" width="8" style="77"/>
    <col min="6402" max="6402" width="6" style="77" customWidth="1"/>
    <col min="6403" max="6403" width="30.140625" style="77" customWidth="1"/>
    <col min="6404" max="6404" width="13.42578125" style="77" customWidth="1"/>
    <col min="6405" max="6405" width="10.42578125" style="77" customWidth="1"/>
    <col min="6406" max="6406" width="10.140625" style="77" customWidth="1"/>
    <col min="6407" max="6409" width="9.28515625" style="77" customWidth="1"/>
    <col min="6410" max="6410" width="9" style="77" customWidth="1"/>
    <col min="6411" max="6411" width="9.140625" style="77" customWidth="1"/>
    <col min="6412" max="6412" width="10.5703125" style="77" customWidth="1"/>
    <col min="6413" max="6413" width="10.140625" style="77" customWidth="1"/>
    <col min="6414" max="6419" width="9.28515625" style="77" customWidth="1"/>
    <col min="6420" max="6425" width="0" style="77" hidden="1" customWidth="1"/>
    <col min="6426" max="6426" width="8" style="77"/>
    <col min="6427" max="6427" width="9.140625" style="77" bestFit="1" customWidth="1"/>
    <col min="6428" max="6657" width="8" style="77"/>
    <col min="6658" max="6658" width="6" style="77" customWidth="1"/>
    <col min="6659" max="6659" width="30.140625" style="77" customWidth="1"/>
    <col min="6660" max="6660" width="13.42578125" style="77" customWidth="1"/>
    <col min="6661" max="6661" width="10.42578125" style="77" customWidth="1"/>
    <col min="6662" max="6662" width="10.140625" style="77" customWidth="1"/>
    <col min="6663" max="6665" width="9.28515625" style="77" customWidth="1"/>
    <col min="6666" max="6666" width="9" style="77" customWidth="1"/>
    <col min="6667" max="6667" width="9.140625" style="77" customWidth="1"/>
    <col min="6668" max="6668" width="10.5703125" style="77" customWidth="1"/>
    <col min="6669" max="6669" width="10.140625" style="77" customWidth="1"/>
    <col min="6670" max="6675" width="9.28515625" style="77" customWidth="1"/>
    <col min="6676" max="6681" width="0" style="77" hidden="1" customWidth="1"/>
    <col min="6682" max="6682" width="8" style="77"/>
    <col min="6683" max="6683" width="9.140625" style="77" bestFit="1" customWidth="1"/>
    <col min="6684" max="6913" width="8" style="77"/>
    <col min="6914" max="6914" width="6" style="77" customWidth="1"/>
    <col min="6915" max="6915" width="30.140625" style="77" customWidth="1"/>
    <col min="6916" max="6916" width="13.42578125" style="77" customWidth="1"/>
    <col min="6917" max="6917" width="10.42578125" style="77" customWidth="1"/>
    <col min="6918" max="6918" width="10.140625" style="77" customWidth="1"/>
    <col min="6919" max="6921" width="9.28515625" style="77" customWidth="1"/>
    <col min="6922" max="6922" width="9" style="77" customWidth="1"/>
    <col min="6923" max="6923" width="9.140625" style="77" customWidth="1"/>
    <col min="6924" max="6924" width="10.5703125" style="77" customWidth="1"/>
    <col min="6925" max="6925" width="10.140625" style="77" customWidth="1"/>
    <col min="6926" max="6931" width="9.28515625" style="77" customWidth="1"/>
    <col min="6932" max="6937" width="0" style="77" hidden="1" customWidth="1"/>
    <col min="6938" max="6938" width="8" style="77"/>
    <col min="6939" max="6939" width="9.140625" style="77" bestFit="1" customWidth="1"/>
    <col min="6940" max="7169" width="8" style="77"/>
    <col min="7170" max="7170" width="6" style="77" customWidth="1"/>
    <col min="7171" max="7171" width="30.140625" style="77" customWidth="1"/>
    <col min="7172" max="7172" width="13.42578125" style="77" customWidth="1"/>
    <col min="7173" max="7173" width="10.42578125" style="77" customWidth="1"/>
    <col min="7174" max="7174" width="10.140625" style="77" customWidth="1"/>
    <col min="7175" max="7177" width="9.28515625" style="77" customWidth="1"/>
    <col min="7178" max="7178" width="9" style="77" customWidth="1"/>
    <col min="7179" max="7179" width="9.140625" style="77" customWidth="1"/>
    <col min="7180" max="7180" width="10.5703125" style="77" customWidth="1"/>
    <col min="7181" max="7181" width="10.140625" style="77" customWidth="1"/>
    <col min="7182" max="7187" width="9.28515625" style="77" customWidth="1"/>
    <col min="7188" max="7193" width="0" style="77" hidden="1" customWidth="1"/>
    <col min="7194" max="7194" width="8" style="77"/>
    <col min="7195" max="7195" width="9.140625" style="77" bestFit="1" customWidth="1"/>
    <col min="7196" max="7425" width="8" style="77"/>
    <col min="7426" max="7426" width="6" style="77" customWidth="1"/>
    <col min="7427" max="7427" width="30.140625" style="77" customWidth="1"/>
    <col min="7428" max="7428" width="13.42578125" style="77" customWidth="1"/>
    <col min="7429" max="7429" width="10.42578125" style="77" customWidth="1"/>
    <col min="7430" max="7430" width="10.140625" style="77" customWidth="1"/>
    <col min="7431" max="7433" width="9.28515625" style="77" customWidth="1"/>
    <col min="7434" max="7434" width="9" style="77" customWidth="1"/>
    <col min="7435" max="7435" width="9.140625" style="77" customWidth="1"/>
    <col min="7436" max="7436" width="10.5703125" style="77" customWidth="1"/>
    <col min="7437" max="7437" width="10.140625" style="77" customWidth="1"/>
    <col min="7438" max="7443" width="9.28515625" style="77" customWidth="1"/>
    <col min="7444" max="7449" width="0" style="77" hidden="1" customWidth="1"/>
    <col min="7450" max="7450" width="8" style="77"/>
    <col min="7451" max="7451" width="9.140625" style="77" bestFit="1" customWidth="1"/>
    <col min="7452" max="7681" width="8" style="77"/>
    <col min="7682" max="7682" width="6" style="77" customWidth="1"/>
    <col min="7683" max="7683" width="30.140625" style="77" customWidth="1"/>
    <col min="7684" max="7684" width="13.42578125" style="77" customWidth="1"/>
    <col min="7685" max="7685" width="10.42578125" style="77" customWidth="1"/>
    <col min="7686" max="7686" width="10.140625" style="77" customWidth="1"/>
    <col min="7687" max="7689" width="9.28515625" style="77" customWidth="1"/>
    <col min="7690" max="7690" width="9" style="77" customWidth="1"/>
    <col min="7691" max="7691" width="9.140625" style="77" customWidth="1"/>
    <col min="7692" max="7692" width="10.5703125" style="77" customWidth="1"/>
    <col min="7693" max="7693" width="10.140625" style="77" customWidth="1"/>
    <col min="7694" max="7699" width="9.28515625" style="77" customWidth="1"/>
    <col min="7700" max="7705" width="0" style="77" hidden="1" customWidth="1"/>
    <col min="7706" max="7706" width="8" style="77"/>
    <col min="7707" max="7707" width="9.140625" style="77" bestFit="1" customWidth="1"/>
    <col min="7708" max="7937" width="8" style="77"/>
    <col min="7938" max="7938" width="6" style="77" customWidth="1"/>
    <col min="7939" max="7939" width="30.140625" style="77" customWidth="1"/>
    <col min="7940" max="7940" width="13.42578125" style="77" customWidth="1"/>
    <col min="7941" max="7941" width="10.42578125" style="77" customWidth="1"/>
    <col min="7942" max="7942" width="10.140625" style="77" customWidth="1"/>
    <col min="7943" max="7945" width="9.28515625" style="77" customWidth="1"/>
    <col min="7946" max="7946" width="9" style="77" customWidth="1"/>
    <col min="7947" max="7947" width="9.140625" style="77" customWidth="1"/>
    <col min="7948" max="7948" width="10.5703125" style="77" customWidth="1"/>
    <col min="7949" max="7949" width="10.140625" style="77" customWidth="1"/>
    <col min="7950" max="7955" width="9.28515625" style="77" customWidth="1"/>
    <col min="7956" max="7961" width="0" style="77" hidden="1" customWidth="1"/>
    <col min="7962" max="7962" width="8" style="77"/>
    <col min="7963" max="7963" width="9.140625" style="77" bestFit="1" customWidth="1"/>
    <col min="7964" max="8193" width="8" style="77"/>
    <col min="8194" max="8194" width="6" style="77" customWidth="1"/>
    <col min="8195" max="8195" width="30.140625" style="77" customWidth="1"/>
    <col min="8196" max="8196" width="13.42578125" style="77" customWidth="1"/>
    <col min="8197" max="8197" width="10.42578125" style="77" customWidth="1"/>
    <col min="8198" max="8198" width="10.140625" style="77" customWidth="1"/>
    <col min="8199" max="8201" width="9.28515625" style="77" customWidth="1"/>
    <col min="8202" max="8202" width="9" style="77" customWidth="1"/>
    <col min="8203" max="8203" width="9.140625" style="77" customWidth="1"/>
    <col min="8204" max="8204" width="10.5703125" style="77" customWidth="1"/>
    <col min="8205" max="8205" width="10.140625" style="77" customWidth="1"/>
    <col min="8206" max="8211" width="9.28515625" style="77" customWidth="1"/>
    <col min="8212" max="8217" width="0" style="77" hidden="1" customWidth="1"/>
    <col min="8218" max="8218" width="8" style="77"/>
    <col min="8219" max="8219" width="9.140625" style="77" bestFit="1" customWidth="1"/>
    <col min="8220" max="8449" width="8" style="77"/>
    <col min="8450" max="8450" width="6" style="77" customWidth="1"/>
    <col min="8451" max="8451" width="30.140625" style="77" customWidth="1"/>
    <col min="8452" max="8452" width="13.42578125" style="77" customWidth="1"/>
    <col min="8453" max="8453" width="10.42578125" style="77" customWidth="1"/>
    <col min="8454" max="8454" width="10.140625" style="77" customWidth="1"/>
    <col min="8455" max="8457" width="9.28515625" style="77" customWidth="1"/>
    <col min="8458" max="8458" width="9" style="77" customWidth="1"/>
    <col min="8459" max="8459" width="9.140625" style="77" customWidth="1"/>
    <col min="8460" max="8460" width="10.5703125" style="77" customWidth="1"/>
    <col min="8461" max="8461" width="10.140625" style="77" customWidth="1"/>
    <col min="8462" max="8467" width="9.28515625" style="77" customWidth="1"/>
    <col min="8468" max="8473" width="0" style="77" hidden="1" customWidth="1"/>
    <col min="8474" max="8474" width="8" style="77"/>
    <col min="8475" max="8475" width="9.140625" style="77" bestFit="1" customWidth="1"/>
    <col min="8476" max="8705" width="8" style="77"/>
    <col min="8706" max="8706" width="6" style="77" customWidth="1"/>
    <col min="8707" max="8707" width="30.140625" style="77" customWidth="1"/>
    <col min="8708" max="8708" width="13.42578125" style="77" customWidth="1"/>
    <col min="8709" max="8709" width="10.42578125" style="77" customWidth="1"/>
    <col min="8710" max="8710" width="10.140625" style="77" customWidth="1"/>
    <col min="8711" max="8713" width="9.28515625" style="77" customWidth="1"/>
    <col min="8714" max="8714" width="9" style="77" customWidth="1"/>
    <col min="8715" max="8715" width="9.140625" style="77" customWidth="1"/>
    <col min="8716" max="8716" width="10.5703125" style="77" customWidth="1"/>
    <col min="8717" max="8717" width="10.140625" style="77" customWidth="1"/>
    <col min="8718" max="8723" width="9.28515625" style="77" customWidth="1"/>
    <col min="8724" max="8729" width="0" style="77" hidden="1" customWidth="1"/>
    <col min="8730" max="8730" width="8" style="77"/>
    <col min="8731" max="8731" width="9.140625" style="77" bestFit="1" customWidth="1"/>
    <col min="8732" max="8961" width="8" style="77"/>
    <col min="8962" max="8962" width="6" style="77" customWidth="1"/>
    <col min="8963" max="8963" width="30.140625" style="77" customWidth="1"/>
    <col min="8964" max="8964" width="13.42578125" style="77" customWidth="1"/>
    <col min="8965" max="8965" width="10.42578125" style="77" customWidth="1"/>
    <col min="8966" max="8966" width="10.140625" style="77" customWidth="1"/>
    <col min="8967" max="8969" width="9.28515625" style="77" customWidth="1"/>
    <col min="8970" max="8970" width="9" style="77" customWidth="1"/>
    <col min="8971" max="8971" width="9.140625" style="77" customWidth="1"/>
    <col min="8972" max="8972" width="10.5703125" style="77" customWidth="1"/>
    <col min="8973" max="8973" width="10.140625" style="77" customWidth="1"/>
    <col min="8974" max="8979" width="9.28515625" style="77" customWidth="1"/>
    <col min="8980" max="8985" width="0" style="77" hidden="1" customWidth="1"/>
    <col min="8986" max="8986" width="8" style="77"/>
    <col min="8987" max="8987" width="9.140625" style="77" bestFit="1" customWidth="1"/>
    <col min="8988" max="9217" width="8" style="77"/>
    <col min="9218" max="9218" width="6" style="77" customWidth="1"/>
    <col min="9219" max="9219" width="30.140625" style="77" customWidth="1"/>
    <col min="9220" max="9220" width="13.42578125" style="77" customWidth="1"/>
    <col min="9221" max="9221" width="10.42578125" style="77" customWidth="1"/>
    <col min="9222" max="9222" width="10.140625" style="77" customWidth="1"/>
    <col min="9223" max="9225" width="9.28515625" style="77" customWidth="1"/>
    <col min="9226" max="9226" width="9" style="77" customWidth="1"/>
    <col min="9227" max="9227" width="9.140625" style="77" customWidth="1"/>
    <col min="9228" max="9228" width="10.5703125" style="77" customWidth="1"/>
    <col min="9229" max="9229" width="10.140625" style="77" customWidth="1"/>
    <col min="9230" max="9235" width="9.28515625" style="77" customWidth="1"/>
    <col min="9236" max="9241" width="0" style="77" hidden="1" customWidth="1"/>
    <col min="9242" max="9242" width="8" style="77"/>
    <col min="9243" max="9243" width="9.140625" style="77" bestFit="1" customWidth="1"/>
    <col min="9244" max="9473" width="8" style="77"/>
    <col min="9474" max="9474" width="6" style="77" customWidth="1"/>
    <col min="9475" max="9475" width="30.140625" style="77" customWidth="1"/>
    <col min="9476" max="9476" width="13.42578125" style="77" customWidth="1"/>
    <col min="9477" max="9477" width="10.42578125" style="77" customWidth="1"/>
    <col min="9478" max="9478" width="10.140625" style="77" customWidth="1"/>
    <col min="9479" max="9481" width="9.28515625" style="77" customWidth="1"/>
    <col min="9482" max="9482" width="9" style="77" customWidth="1"/>
    <col min="9483" max="9483" width="9.140625" style="77" customWidth="1"/>
    <col min="9484" max="9484" width="10.5703125" style="77" customWidth="1"/>
    <col min="9485" max="9485" width="10.140625" style="77" customWidth="1"/>
    <col min="9486" max="9491" width="9.28515625" style="77" customWidth="1"/>
    <col min="9492" max="9497" width="0" style="77" hidden="1" customWidth="1"/>
    <col min="9498" max="9498" width="8" style="77"/>
    <col min="9499" max="9499" width="9.140625" style="77" bestFit="1" customWidth="1"/>
    <col min="9500" max="9729" width="8" style="77"/>
    <col min="9730" max="9730" width="6" style="77" customWidth="1"/>
    <col min="9731" max="9731" width="30.140625" style="77" customWidth="1"/>
    <col min="9732" max="9732" width="13.42578125" style="77" customWidth="1"/>
    <col min="9733" max="9733" width="10.42578125" style="77" customWidth="1"/>
    <col min="9734" max="9734" width="10.140625" style="77" customWidth="1"/>
    <col min="9735" max="9737" width="9.28515625" style="77" customWidth="1"/>
    <col min="9738" max="9738" width="9" style="77" customWidth="1"/>
    <col min="9739" max="9739" width="9.140625" style="77" customWidth="1"/>
    <col min="9740" max="9740" width="10.5703125" style="77" customWidth="1"/>
    <col min="9741" max="9741" width="10.140625" style="77" customWidth="1"/>
    <col min="9742" max="9747" width="9.28515625" style="77" customWidth="1"/>
    <col min="9748" max="9753" width="0" style="77" hidden="1" customWidth="1"/>
    <col min="9754" max="9754" width="8" style="77"/>
    <col min="9755" max="9755" width="9.140625" style="77" bestFit="1" customWidth="1"/>
    <col min="9756" max="9985" width="8" style="77"/>
    <col min="9986" max="9986" width="6" style="77" customWidth="1"/>
    <col min="9987" max="9987" width="30.140625" style="77" customWidth="1"/>
    <col min="9988" max="9988" width="13.42578125" style="77" customWidth="1"/>
    <col min="9989" max="9989" width="10.42578125" style="77" customWidth="1"/>
    <col min="9990" max="9990" width="10.140625" style="77" customWidth="1"/>
    <col min="9991" max="9993" width="9.28515625" style="77" customWidth="1"/>
    <col min="9994" max="9994" width="9" style="77" customWidth="1"/>
    <col min="9995" max="9995" width="9.140625" style="77" customWidth="1"/>
    <col min="9996" max="9996" width="10.5703125" style="77" customWidth="1"/>
    <col min="9997" max="9997" width="10.140625" style="77" customWidth="1"/>
    <col min="9998" max="10003" width="9.28515625" style="77" customWidth="1"/>
    <col min="10004" max="10009" width="0" style="77" hidden="1" customWidth="1"/>
    <col min="10010" max="10010" width="8" style="77"/>
    <col min="10011" max="10011" width="9.140625" style="77" bestFit="1" customWidth="1"/>
    <col min="10012" max="10241" width="8" style="77"/>
    <col min="10242" max="10242" width="6" style="77" customWidth="1"/>
    <col min="10243" max="10243" width="30.140625" style="77" customWidth="1"/>
    <col min="10244" max="10244" width="13.42578125" style="77" customWidth="1"/>
    <col min="10245" max="10245" width="10.42578125" style="77" customWidth="1"/>
    <col min="10246" max="10246" width="10.140625" style="77" customWidth="1"/>
    <col min="10247" max="10249" width="9.28515625" style="77" customWidth="1"/>
    <col min="10250" max="10250" width="9" style="77" customWidth="1"/>
    <col min="10251" max="10251" width="9.140625" style="77" customWidth="1"/>
    <col min="10252" max="10252" width="10.5703125" style="77" customWidth="1"/>
    <col min="10253" max="10253" width="10.140625" style="77" customWidth="1"/>
    <col min="10254" max="10259" width="9.28515625" style="77" customWidth="1"/>
    <col min="10260" max="10265" width="0" style="77" hidden="1" customWidth="1"/>
    <col min="10266" max="10266" width="8" style="77"/>
    <col min="10267" max="10267" width="9.140625" style="77" bestFit="1" customWidth="1"/>
    <col min="10268" max="10497" width="8" style="77"/>
    <col min="10498" max="10498" width="6" style="77" customWidth="1"/>
    <col min="10499" max="10499" width="30.140625" style="77" customWidth="1"/>
    <col min="10500" max="10500" width="13.42578125" style="77" customWidth="1"/>
    <col min="10501" max="10501" width="10.42578125" style="77" customWidth="1"/>
    <col min="10502" max="10502" width="10.140625" style="77" customWidth="1"/>
    <col min="10503" max="10505" width="9.28515625" style="77" customWidth="1"/>
    <col min="10506" max="10506" width="9" style="77" customWidth="1"/>
    <col min="10507" max="10507" width="9.140625" style="77" customWidth="1"/>
    <col min="10508" max="10508" width="10.5703125" style="77" customWidth="1"/>
    <col min="10509" max="10509" width="10.140625" style="77" customWidth="1"/>
    <col min="10510" max="10515" width="9.28515625" style="77" customWidth="1"/>
    <col min="10516" max="10521" width="0" style="77" hidden="1" customWidth="1"/>
    <col min="10522" max="10522" width="8" style="77"/>
    <col min="10523" max="10523" width="9.140625" style="77" bestFit="1" customWidth="1"/>
    <col min="10524" max="10753" width="8" style="77"/>
    <col min="10754" max="10754" width="6" style="77" customWidth="1"/>
    <col min="10755" max="10755" width="30.140625" style="77" customWidth="1"/>
    <col min="10756" max="10756" width="13.42578125" style="77" customWidth="1"/>
    <col min="10757" max="10757" width="10.42578125" style="77" customWidth="1"/>
    <col min="10758" max="10758" width="10.140625" style="77" customWidth="1"/>
    <col min="10759" max="10761" width="9.28515625" style="77" customWidth="1"/>
    <col min="10762" max="10762" width="9" style="77" customWidth="1"/>
    <col min="10763" max="10763" width="9.140625" style="77" customWidth="1"/>
    <col min="10764" max="10764" width="10.5703125" style="77" customWidth="1"/>
    <col min="10765" max="10765" width="10.140625" style="77" customWidth="1"/>
    <col min="10766" max="10771" width="9.28515625" style="77" customWidth="1"/>
    <col min="10772" max="10777" width="0" style="77" hidden="1" customWidth="1"/>
    <col min="10778" max="10778" width="8" style="77"/>
    <col min="10779" max="10779" width="9.140625" style="77" bestFit="1" customWidth="1"/>
    <col min="10780" max="11009" width="8" style="77"/>
    <col min="11010" max="11010" width="6" style="77" customWidth="1"/>
    <col min="11011" max="11011" width="30.140625" style="77" customWidth="1"/>
    <col min="11012" max="11012" width="13.42578125" style="77" customWidth="1"/>
    <col min="11013" max="11013" width="10.42578125" style="77" customWidth="1"/>
    <col min="11014" max="11014" width="10.140625" style="77" customWidth="1"/>
    <col min="11015" max="11017" width="9.28515625" style="77" customWidth="1"/>
    <col min="11018" max="11018" width="9" style="77" customWidth="1"/>
    <col min="11019" max="11019" width="9.140625" style="77" customWidth="1"/>
    <col min="11020" max="11020" width="10.5703125" style="77" customWidth="1"/>
    <col min="11021" max="11021" width="10.140625" style="77" customWidth="1"/>
    <col min="11022" max="11027" width="9.28515625" style="77" customWidth="1"/>
    <col min="11028" max="11033" width="0" style="77" hidden="1" customWidth="1"/>
    <col min="11034" max="11034" width="8" style="77"/>
    <col min="11035" max="11035" width="9.140625" style="77" bestFit="1" customWidth="1"/>
    <col min="11036" max="11265" width="8" style="77"/>
    <col min="11266" max="11266" width="6" style="77" customWidth="1"/>
    <col min="11267" max="11267" width="30.140625" style="77" customWidth="1"/>
    <col min="11268" max="11268" width="13.42578125" style="77" customWidth="1"/>
    <col min="11269" max="11269" width="10.42578125" style="77" customWidth="1"/>
    <col min="11270" max="11270" width="10.140625" style="77" customWidth="1"/>
    <col min="11271" max="11273" width="9.28515625" style="77" customWidth="1"/>
    <col min="11274" max="11274" width="9" style="77" customWidth="1"/>
    <col min="11275" max="11275" width="9.140625" style="77" customWidth="1"/>
    <col min="11276" max="11276" width="10.5703125" style="77" customWidth="1"/>
    <col min="11277" max="11277" width="10.140625" style="77" customWidth="1"/>
    <col min="11278" max="11283" width="9.28515625" style="77" customWidth="1"/>
    <col min="11284" max="11289" width="0" style="77" hidden="1" customWidth="1"/>
    <col min="11290" max="11290" width="8" style="77"/>
    <col min="11291" max="11291" width="9.140625" style="77" bestFit="1" customWidth="1"/>
    <col min="11292" max="11521" width="8" style="77"/>
    <col min="11522" max="11522" width="6" style="77" customWidth="1"/>
    <col min="11523" max="11523" width="30.140625" style="77" customWidth="1"/>
    <col min="11524" max="11524" width="13.42578125" style="77" customWidth="1"/>
    <col min="11525" max="11525" width="10.42578125" style="77" customWidth="1"/>
    <col min="11526" max="11526" width="10.140625" style="77" customWidth="1"/>
    <col min="11527" max="11529" width="9.28515625" style="77" customWidth="1"/>
    <col min="11530" max="11530" width="9" style="77" customWidth="1"/>
    <col min="11531" max="11531" width="9.140625" style="77" customWidth="1"/>
    <col min="11532" max="11532" width="10.5703125" style="77" customWidth="1"/>
    <col min="11533" max="11533" width="10.140625" style="77" customWidth="1"/>
    <col min="11534" max="11539" width="9.28515625" style="77" customWidth="1"/>
    <col min="11540" max="11545" width="0" style="77" hidden="1" customWidth="1"/>
    <col min="11546" max="11546" width="8" style="77"/>
    <col min="11547" max="11547" width="9.140625" style="77" bestFit="1" customWidth="1"/>
    <col min="11548" max="11777" width="8" style="77"/>
    <col min="11778" max="11778" width="6" style="77" customWidth="1"/>
    <col min="11779" max="11779" width="30.140625" style="77" customWidth="1"/>
    <col min="11780" max="11780" width="13.42578125" style="77" customWidth="1"/>
    <col min="11781" max="11781" width="10.42578125" style="77" customWidth="1"/>
    <col min="11782" max="11782" width="10.140625" style="77" customWidth="1"/>
    <col min="11783" max="11785" width="9.28515625" style="77" customWidth="1"/>
    <col min="11786" max="11786" width="9" style="77" customWidth="1"/>
    <col min="11787" max="11787" width="9.140625" style="77" customWidth="1"/>
    <col min="11788" max="11788" width="10.5703125" style="77" customWidth="1"/>
    <col min="11789" max="11789" width="10.140625" style="77" customWidth="1"/>
    <col min="11790" max="11795" width="9.28515625" style="77" customWidth="1"/>
    <col min="11796" max="11801" width="0" style="77" hidden="1" customWidth="1"/>
    <col min="11802" max="11802" width="8" style="77"/>
    <col min="11803" max="11803" width="9.140625" style="77" bestFit="1" customWidth="1"/>
    <col min="11804" max="12033" width="8" style="77"/>
    <col min="12034" max="12034" width="6" style="77" customWidth="1"/>
    <col min="12035" max="12035" width="30.140625" style="77" customWidth="1"/>
    <col min="12036" max="12036" width="13.42578125" style="77" customWidth="1"/>
    <col min="12037" max="12037" width="10.42578125" style="77" customWidth="1"/>
    <col min="12038" max="12038" width="10.140625" style="77" customWidth="1"/>
    <col min="12039" max="12041" width="9.28515625" style="77" customWidth="1"/>
    <col min="12042" max="12042" width="9" style="77" customWidth="1"/>
    <col min="12043" max="12043" width="9.140625" style="77" customWidth="1"/>
    <col min="12044" max="12044" width="10.5703125" style="77" customWidth="1"/>
    <col min="12045" max="12045" width="10.140625" style="77" customWidth="1"/>
    <col min="12046" max="12051" width="9.28515625" style="77" customWidth="1"/>
    <col min="12052" max="12057" width="0" style="77" hidden="1" customWidth="1"/>
    <col min="12058" max="12058" width="8" style="77"/>
    <col min="12059" max="12059" width="9.140625" style="77" bestFit="1" customWidth="1"/>
    <col min="12060" max="12289" width="8" style="77"/>
    <col min="12290" max="12290" width="6" style="77" customWidth="1"/>
    <col min="12291" max="12291" width="30.140625" style="77" customWidth="1"/>
    <col min="12292" max="12292" width="13.42578125" style="77" customWidth="1"/>
    <col min="12293" max="12293" width="10.42578125" style="77" customWidth="1"/>
    <col min="12294" max="12294" width="10.140625" style="77" customWidth="1"/>
    <col min="12295" max="12297" width="9.28515625" style="77" customWidth="1"/>
    <col min="12298" max="12298" width="9" style="77" customWidth="1"/>
    <col min="12299" max="12299" width="9.140625" style="77" customWidth="1"/>
    <col min="12300" max="12300" width="10.5703125" style="77" customWidth="1"/>
    <col min="12301" max="12301" width="10.140625" style="77" customWidth="1"/>
    <col min="12302" max="12307" width="9.28515625" style="77" customWidth="1"/>
    <col min="12308" max="12313" width="0" style="77" hidden="1" customWidth="1"/>
    <col min="12314" max="12314" width="8" style="77"/>
    <col min="12315" max="12315" width="9.140625" style="77" bestFit="1" customWidth="1"/>
    <col min="12316" max="12545" width="8" style="77"/>
    <col min="12546" max="12546" width="6" style="77" customWidth="1"/>
    <col min="12547" max="12547" width="30.140625" style="77" customWidth="1"/>
    <col min="12548" max="12548" width="13.42578125" style="77" customWidth="1"/>
    <col min="12549" max="12549" width="10.42578125" style="77" customWidth="1"/>
    <col min="12550" max="12550" width="10.140625" style="77" customWidth="1"/>
    <col min="12551" max="12553" width="9.28515625" style="77" customWidth="1"/>
    <col min="12554" max="12554" width="9" style="77" customWidth="1"/>
    <col min="12555" max="12555" width="9.140625" style="77" customWidth="1"/>
    <col min="12556" max="12556" width="10.5703125" style="77" customWidth="1"/>
    <col min="12557" max="12557" width="10.140625" style="77" customWidth="1"/>
    <col min="12558" max="12563" width="9.28515625" style="77" customWidth="1"/>
    <col min="12564" max="12569" width="0" style="77" hidden="1" customWidth="1"/>
    <col min="12570" max="12570" width="8" style="77"/>
    <col min="12571" max="12571" width="9.140625" style="77" bestFit="1" customWidth="1"/>
    <col min="12572" max="12801" width="8" style="77"/>
    <col min="12802" max="12802" width="6" style="77" customWidth="1"/>
    <col min="12803" max="12803" width="30.140625" style="77" customWidth="1"/>
    <col min="12804" max="12804" width="13.42578125" style="77" customWidth="1"/>
    <col min="12805" max="12805" width="10.42578125" style="77" customWidth="1"/>
    <col min="12806" max="12806" width="10.140625" style="77" customWidth="1"/>
    <col min="12807" max="12809" width="9.28515625" style="77" customWidth="1"/>
    <col min="12810" max="12810" width="9" style="77" customWidth="1"/>
    <col min="12811" max="12811" width="9.140625" style="77" customWidth="1"/>
    <col min="12812" max="12812" width="10.5703125" style="77" customWidth="1"/>
    <col min="12813" max="12813" width="10.140625" style="77" customWidth="1"/>
    <col min="12814" max="12819" width="9.28515625" style="77" customWidth="1"/>
    <col min="12820" max="12825" width="0" style="77" hidden="1" customWidth="1"/>
    <col min="12826" max="12826" width="8" style="77"/>
    <col min="12827" max="12827" width="9.140625" style="77" bestFit="1" customWidth="1"/>
    <col min="12828" max="13057" width="8" style="77"/>
    <col min="13058" max="13058" width="6" style="77" customWidth="1"/>
    <col min="13059" max="13059" width="30.140625" style="77" customWidth="1"/>
    <col min="13060" max="13060" width="13.42578125" style="77" customWidth="1"/>
    <col min="13061" max="13061" width="10.42578125" style="77" customWidth="1"/>
    <col min="13062" max="13062" width="10.140625" style="77" customWidth="1"/>
    <col min="13063" max="13065" width="9.28515625" style="77" customWidth="1"/>
    <col min="13066" max="13066" width="9" style="77" customWidth="1"/>
    <col min="13067" max="13067" width="9.140625" style="77" customWidth="1"/>
    <col min="13068" max="13068" width="10.5703125" style="77" customWidth="1"/>
    <col min="13069" max="13069" width="10.140625" style="77" customWidth="1"/>
    <col min="13070" max="13075" width="9.28515625" style="77" customWidth="1"/>
    <col min="13076" max="13081" width="0" style="77" hidden="1" customWidth="1"/>
    <col min="13082" max="13082" width="8" style="77"/>
    <col min="13083" max="13083" width="9.140625" style="77" bestFit="1" customWidth="1"/>
    <col min="13084" max="13313" width="8" style="77"/>
    <col min="13314" max="13314" width="6" style="77" customWidth="1"/>
    <col min="13315" max="13315" width="30.140625" style="77" customWidth="1"/>
    <col min="13316" max="13316" width="13.42578125" style="77" customWidth="1"/>
    <col min="13317" max="13317" width="10.42578125" style="77" customWidth="1"/>
    <col min="13318" max="13318" width="10.140625" style="77" customWidth="1"/>
    <col min="13319" max="13321" width="9.28515625" style="77" customWidth="1"/>
    <col min="13322" max="13322" width="9" style="77" customWidth="1"/>
    <col min="13323" max="13323" width="9.140625" style="77" customWidth="1"/>
    <col min="13324" max="13324" width="10.5703125" style="77" customWidth="1"/>
    <col min="13325" max="13325" width="10.140625" style="77" customWidth="1"/>
    <col min="13326" max="13331" width="9.28515625" style="77" customWidth="1"/>
    <col min="13332" max="13337" width="0" style="77" hidden="1" customWidth="1"/>
    <col min="13338" max="13338" width="8" style="77"/>
    <col min="13339" max="13339" width="9.140625" style="77" bestFit="1" customWidth="1"/>
    <col min="13340" max="13569" width="8" style="77"/>
    <col min="13570" max="13570" width="6" style="77" customWidth="1"/>
    <col min="13571" max="13571" width="30.140625" style="77" customWidth="1"/>
    <col min="13572" max="13572" width="13.42578125" style="77" customWidth="1"/>
    <col min="13573" max="13573" width="10.42578125" style="77" customWidth="1"/>
    <col min="13574" max="13574" width="10.140625" style="77" customWidth="1"/>
    <col min="13575" max="13577" width="9.28515625" style="77" customWidth="1"/>
    <col min="13578" max="13578" width="9" style="77" customWidth="1"/>
    <col min="13579" max="13579" width="9.140625" style="77" customWidth="1"/>
    <col min="13580" max="13580" width="10.5703125" style="77" customWidth="1"/>
    <col min="13581" max="13581" width="10.140625" style="77" customWidth="1"/>
    <col min="13582" max="13587" width="9.28515625" style="77" customWidth="1"/>
    <col min="13588" max="13593" width="0" style="77" hidden="1" customWidth="1"/>
    <col min="13594" max="13594" width="8" style="77"/>
    <col min="13595" max="13595" width="9.140625" style="77" bestFit="1" customWidth="1"/>
    <col min="13596" max="13825" width="8" style="77"/>
    <col min="13826" max="13826" width="6" style="77" customWidth="1"/>
    <col min="13827" max="13827" width="30.140625" style="77" customWidth="1"/>
    <col min="13828" max="13828" width="13.42578125" style="77" customWidth="1"/>
    <col min="13829" max="13829" width="10.42578125" style="77" customWidth="1"/>
    <col min="13830" max="13830" width="10.140625" style="77" customWidth="1"/>
    <col min="13831" max="13833" width="9.28515625" style="77" customWidth="1"/>
    <col min="13834" max="13834" width="9" style="77" customWidth="1"/>
    <col min="13835" max="13835" width="9.140625" style="77" customWidth="1"/>
    <col min="13836" max="13836" width="10.5703125" style="77" customWidth="1"/>
    <col min="13837" max="13837" width="10.140625" style="77" customWidth="1"/>
    <col min="13838" max="13843" width="9.28515625" style="77" customWidth="1"/>
    <col min="13844" max="13849" width="0" style="77" hidden="1" customWidth="1"/>
    <col min="13850" max="13850" width="8" style="77"/>
    <col min="13851" max="13851" width="9.140625" style="77" bestFit="1" customWidth="1"/>
    <col min="13852" max="14081" width="8" style="77"/>
    <col min="14082" max="14082" width="6" style="77" customWidth="1"/>
    <col min="14083" max="14083" width="30.140625" style="77" customWidth="1"/>
    <col min="14084" max="14084" width="13.42578125" style="77" customWidth="1"/>
    <col min="14085" max="14085" width="10.42578125" style="77" customWidth="1"/>
    <col min="14086" max="14086" width="10.140625" style="77" customWidth="1"/>
    <col min="14087" max="14089" width="9.28515625" style="77" customWidth="1"/>
    <col min="14090" max="14090" width="9" style="77" customWidth="1"/>
    <col min="14091" max="14091" width="9.140625" style="77" customWidth="1"/>
    <col min="14092" max="14092" width="10.5703125" style="77" customWidth="1"/>
    <col min="14093" max="14093" width="10.140625" style="77" customWidth="1"/>
    <col min="14094" max="14099" width="9.28515625" style="77" customWidth="1"/>
    <col min="14100" max="14105" width="0" style="77" hidden="1" customWidth="1"/>
    <col min="14106" max="14106" width="8" style="77"/>
    <col min="14107" max="14107" width="9.140625" style="77" bestFit="1" customWidth="1"/>
    <col min="14108" max="14337" width="8" style="77"/>
    <col min="14338" max="14338" width="6" style="77" customWidth="1"/>
    <col min="14339" max="14339" width="30.140625" style="77" customWidth="1"/>
    <col min="14340" max="14340" width="13.42578125" style="77" customWidth="1"/>
    <col min="14341" max="14341" width="10.42578125" style="77" customWidth="1"/>
    <col min="14342" max="14342" width="10.140625" style="77" customWidth="1"/>
    <col min="14343" max="14345" width="9.28515625" style="77" customWidth="1"/>
    <col min="14346" max="14346" width="9" style="77" customWidth="1"/>
    <col min="14347" max="14347" width="9.140625" style="77" customWidth="1"/>
    <col min="14348" max="14348" width="10.5703125" style="77" customWidth="1"/>
    <col min="14349" max="14349" width="10.140625" style="77" customWidth="1"/>
    <col min="14350" max="14355" width="9.28515625" style="77" customWidth="1"/>
    <col min="14356" max="14361" width="0" style="77" hidden="1" customWidth="1"/>
    <col min="14362" max="14362" width="8" style="77"/>
    <col min="14363" max="14363" width="9.140625" style="77" bestFit="1" customWidth="1"/>
    <col min="14364" max="14593" width="8" style="77"/>
    <col min="14594" max="14594" width="6" style="77" customWidth="1"/>
    <col min="14595" max="14595" width="30.140625" style="77" customWidth="1"/>
    <col min="14596" max="14596" width="13.42578125" style="77" customWidth="1"/>
    <col min="14597" max="14597" width="10.42578125" style="77" customWidth="1"/>
    <col min="14598" max="14598" width="10.140625" style="77" customWidth="1"/>
    <col min="14599" max="14601" width="9.28515625" style="77" customWidth="1"/>
    <col min="14602" max="14602" width="9" style="77" customWidth="1"/>
    <col min="14603" max="14603" width="9.140625" style="77" customWidth="1"/>
    <col min="14604" max="14604" width="10.5703125" style="77" customWidth="1"/>
    <col min="14605" max="14605" width="10.140625" style="77" customWidth="1"/>
    <col min="14606" max="14611" width="9.28515625" style="77" customWidth="1"/>
    <col min="14612" max="14617" width="0" style="77" hidden="1" customWidth="1"/>
    <col min="14618" max="14618" width="8" style="77"/>
    <col min="14619" max="14619" width="9.140625" style="77" bestFit="1" customWidth="1"/>
    <col min="14620" max="14849" width="8" style="77"/>
    <col min="14850" max="14850" width="6" style="77" customWidth="1"/>
    <col min="14851" max="14851" width="30.140625" style="77" customWidth="1"/>
    <col min="14852" max="14852" width="13.42578125" style="77" customWidth="1"/>
    <col min="14853" max="14853" width="10.42578125" style="77" customWidth="1"/>
    <col min="14854" max="14854" width="10.140625" style="77" customWidth="1"/>
    <col min="14855" max="14857" width="9.28515625" style="77" customWidth="1"/>
    <col min="14858" max="14858" width="9" style="77" customWidth="1"/>
    <col min="14859" max="14859" width="9.140625" style="77" customWidth="1"/>
    <col min="14860" max="14860" width="10.5703125" style="77" customWidth="1"/>
    <col min="14861" max="14861" width="10.140625" style="77" customWidth="1"/>
    <col min="14862" max="14867" width="9.28515625" style="77" customWidth="1"/>
    <col min="14868" max="14873" width="0" style="77" hidden="1" customWidth="1"/>
    <col min="14874" max="14874" width="8" style="77"/>
    <col min="14875" max="14875" width="9.140625" style="77" bestFit="1" customWidth="1"/>
    <col min="14876" max="15105" width="8" style="77"/>
    <col min="15106" max="15106" width="6" style="77" customWidth="1"/>
    <col min="15107" max="15107" width="30.140625" style="77" customWidth="1"/>
    <col min="15108" max="15108" width="13.42578125" style="77" customWidth="1"/>
    <col min="15109" max="15109" width="10.42578125" style="77" customWidth="1"/>
    <col min="15110" max="15110" width="10.140625" style="77" customWidth="1"/>
    <col min="15111" max="15113" width="9.28515625" style="77" customWidth="1"/>
    <col min="15114" max="15114" width="9" style="77" customWidth="1"/>
    <col min="15115" max="15115" width="9.140625" style="77" customWidth="1"/>
    <col min="15116" max="15116" width="10.5703125" style="77" customWidth="1"/>
    <col min="15117" max="15117" width="10.140625" style="77" customWidth="1"/>
    <col min="15118" max="15123" width="9.28515625" style="77" customWidth="1"/>
    <col min="15124" max="15129" width="0" style="77" hidden="1" customWidth="1"/>
    <col min="15130" max="15130" width="8" style="77"/>
    <col min="15131" max="15131" width="9.140625" style="77" bestFit="1" customWidth="1"/>
    <col min="15132" max="15361" width="8" style="77"/>
    <col min="15362" max="15362" width="6" style="77" customWidth="1"/>
    <col min="15363" max="15363" width="30.140625" style="77" customWidth="1"/>
    <col min="15364" max="15364" width="13.42578125" style="77" customWidth="1"/>
    <col min="15365" max="15365" width="10.42578125" style="77" customWidth="1"/>
    <col min="15366" max="15366" width="10.140625" style="77" customWidth="1"/>
    <col min="15367" max="15369" width="9.28515625" style="77" customWidth="1"/>
    <col min="15370" max="15370" width="9" style="77" customWidth="1"/>
    <col min="15371" max="15371" width="9.140625" style="77" customWidth="1"/>
    <col min="15372" max="15372" width="10.5703125" style="77" customWidth="1"/>
    <col min="15373" max="15373" width="10.140625" style="77" customWidth="1"/>
    <col min="15374" max="15379" width="9.28515625" style="77" customWidth="1"/>
    <col min="15380" max="15385" width="0" style="77" hidden="1" customWidth="1"/>
    <col min="15386" max="15386" width="8" style="77"/>
    <col min="15387" max="15387" width="9.140625" style="77" bestFit="1" customWidth="1"/>
    <col min="15388" max="15617" width="8" style="77"/>
    <col min="15618" max="15618" width="6" style="77" customWidth="1"/>
    <col min="15619" max="15619" width="30.140625" style="77" customWidth="1"/>
    <col min="15620" max="15620" width="13.42578125" style="77" customWidth="1"/>
    <col min="15621" max="15621" width="10.42578125" style="77" customWidth="1"/>
    <col min="15622" max="15622" width="10.140625" style="77" customWidth="1"/>
    <col min="15623" max="15625" width="9.28515625" style="77" customWidth="1"/>
    <col min="15626" max="15626" width="9" style="77" customWidth="1"/>
    <col min="15627" max="15627" width="9.140625" style="77" customWidth="1"/>
    <col min="15628" max="15628" width="10.5703125" style="77" customWidth="1"/>
    <col min="15629" max="15629" width="10.140625" style="77" customWidth="1"/>
    <col min="15630" max="15635" width="9.28515625" style="77" customWidth="1"/>
    <col min="15636" max="15641" width="0" style="77" hidden="1" customWidth="1"/>
    <col min="15642" max="15642" width="8" style="77"/>
    <col min="15643" max="15643" width="9.140625" style="77" bestFit="1" customWidth="1"/>
    <col min="15644" max="15873" width="8" style="77"/>
    <col min="15874" max="15874" width="6" style="77" customWidth="1"/>
    <col min="15875" max="15875" width="30.140625" style="77" customWidth="1"/>
    <col min="15876" max="15876" width="13.42578125" style="77" customWidth="1"/>
    <col min="15877" max="15877" width="10.42578125" style="77" customWidth="1"/>
    <col min="15878" max="15878" width="10.140625" style="77" customWidth="1"/>
    <col min="15879" max="15881" width="9.28515625" style="77" customWidth="1"/>
    <col min="15882" max="15882" width="9" style="77" customWidth="1"/>
    <col min="15883" max="15883" width="9.140625" style="77" customWidth="1"/>
    <col min="15884" max="15884" width="10.5703125" style="77" customWidth="1"/>
    <col min="15885" max="15885" width="10.140625" style="77" customWidth="1"/>
    <col min="15886" max="15891" width="9.28515625" style="77" customWidth="1"/>
    <col min="15892" max="15897" width="0" style="77" hidden="1" customWidth="1"/>
    <col min="15898" max="15898" width="8" style="77"/>
    <col min="15899" max="15899" width="9.140625" style="77" bestFit="1" customWidth="1"/>
    <col min="15900" max="16129" width="8" style="77"/>
    <col min="16130" max="16130" width="6" style="77" customWidth="1"/>
    <col min="16131" max="16131" width="30.140625" style="77" customWidth="1"/>
    <col min="16132" max="16132" width="13.42578125" style="77" customWidth="1"/>
    <col min="16133" max="16133" width="10.42578125" style="77" customWidth="1"/>
    <col min="16134" max="16134" width="10.140625" style="77" customWidth="1"/>
    <col min="16135" max="16137" width="9.28515625" style="77" customWidth="1"/>
    <col min="16138" max="16138" width="9" style="77" customWidth="1"/>
    <col min="16139" max="16139" width="9.140625" style="77" customWidth="1"/>
    <col min="16140" max="16140" width="10.5703125" style="77" customWidth="1"/>
    <col min="16141" max="16141" width="10.140625" style="77" customWidth="1"/>
    <col min="16142" max="16147" width="9.28515625" style="77" customWidth="1"/>
    <col min="16148" max="16153" width="0" style="77" hidden="1" customWidth="1"/>
    <col min="16154" max="16154" width="8" style="77"/>
    <col min="16155" max="16155" width="9.140625" style="77" bestFit="1" customWidth="1"/>
    <col min="16156" max="16384" width="8" style="77"/>
  </cols>
  <sheetData>
    <row r="1" spans="1:45" ht="21.75" customHeight="1" x14ac:dyDescent="0.2">
      <c r="D1" s="1621"/>
      <c r="E1" s="1621"/>
      <c r="F1" s="1621"/>
      <c r="G1" s="1621"/>
      <c r="H1" s="1621"/>
      <c r="I1" s="1621"/>
      <c r="J1" s="1621"/>
      <c r="K1" s="1621"/>
      <c r="L1" s="1622"/>
      <c r="M1" s="1622"/>
      <c r="N1" s="1622"/>
      <c r="O1" s="1622"/>
      <c r="P1" s="1622"/>
      <c r="Q1" s="1622"/>
      <c r="R1" s="1622"/>
      <c r="S1" s="1622"/>
      <c r="T1" s="1622"/>
      <c r="U1" s="1622"/>
      <c r="V1" s="1622"/>
      <c r="W1" s="1622"/>
      <c r="X1" s="1622"/>
      <c r="AC1" s="1466"/>
      <c r="AD1" s="1466"/>
      <c r="AE1" s="1466"/>
      <c r="AF1" s="1466"/>
      <c r="AG1" s="1466"/>
      <c r="AH1" s="1466"/>
      <c r="AI1" s="1466"/>
      <c r="AJ1" s="1466"/>
      <c r="AK1" s="1466"/>
      <c r="AL1" s="1617" t="s">
        <v>144</v>
      </c>
      <c r="AM1" s="1618"/>
      <c r="AN1" s="1618"/>
      <c r="AO1" s="1618"/>
      <c r="AP1" s="1618"/>
      <c r="AQ1" s="1618"/>
      <c r="AR1" s="1618"/>
      <c r="AS1" s="1618"/>
    </row>
    <row r="2" spans="1:45" ht="18.75" customHeight="1" x14ac:dyDescent="0.3">
      <c r="B2" s="1619" t="s">
        <v>292</v>
      </c>
      <c r="C2" s="1619"/>
      <c r="D2" s="1619"/>
      <c r="E2" s="1619"/>
      <c r="F2" s="1619"/>
      <c r="G2" s="1619"/>
      <c r="H2" s="1619"/>
      <c r="I2" s="1619"/>
      <c r="J2" s="1619"/>
      <c r="K2" s="1619"/>
      <c r="L2" s="1619"/>
      <c r="M2" s="1619"/>
      <c r="N2" s="1619"/>
      <c r="O2" s="1619"/>
      <c r="P2" s="1619"/>
      <c r="Q2" s="1619"/>
      <c r="R2" s="1619"/>
      <c r="S2" s="1619"/>
      <c r="T2" s="1620"/>
      <c r="U2" s="1620"/>
      <c r="V2" s="1620"/>
      <c r="W2" s="1620"/>
      <c r="X2" s="1620"/>
      <c r="Y2" s="1620"/>
      <c r="Z2" s="1620"/>
      <c r="AA2" s="1620"/>
      <c r="AB2" s="1620"/>
      <c r="AC2" s="1620"/>
      <c r="AD2" s="1620"/>
      <c r="AE2" s="1620"/>
      <c r="AF2" s="1620"/>
      <c r="AG2" s="1620"/>
      <c r="AH2" s="1620"/>
      <c r="AI2" s="1620"/>
      <c r="AJ2" s="1466"/>
      <c r="AK2" s="1466"/>
    </row>
    <row r="3" spans="1:45" x14ac:dyDescent="0.2">
      <c r="S3" s="136" t="s">
        <v>64</v>
      </c>
      <c r="T3" s="136"/>
      <c r="U3" s="136"/>
      <c r="V3" s="136"/>
      <c r="W3" s="136"/>
      <c r="X3" s="136"/>
      <c r="AC3" s="1466"/>
      <c r="AD3" s="1466"/>
      <c r="AE3" s="1466"/>
      <c r="AF3" s="1466"/>
      <c r="AG3" s="1466"/>
      <c r="AH3" s="1466"/>
      <c r="AI3" s="1466"/>
      <c r="AJ3" s="1466"/>
      <c r="AK3" s="1466"/>
    </row>
    <row r="4" spans="1:45" ht="12.75" x14ac:dyDescent="0.2">
      <c r="A4" s="1611"/>
      <c r="B4" s="80" t="s">
        <v>0</v>
      </c>
      <c r="C4" s="72" t="s">
        <v>15</v>
      </c>
      <c r="D4" s="1623" t="s">
        <v>1</v>
      </c>
      <c r="E4" s="1624"/>
      <c r="F4" s="1624"/>
      <c r="G4" s="1625"/>
      <c r="H4" s="1052"/>
      <c r="I4" s="1623">
        <v>2014</v>
      </c>
      <c r="J4" s="1624"/>
      <c r="K4" s="1624"/>
      <c r="L4" s="1625"/>
      <c r="M4" s="1626">
        <v>2015</v>
      </c>
      <c r="N4" s="1627"/>
      <c r="O4" s="1627"/>
      <c r="P4" s="1628"/>
      <c r="Q4" s="1629">
        <v>2016</v>
      </c>
      <c r="R4" s="1630"/>
      <c r="S4" s="1631"/>
      <c r="T4" s="1632"/>
      <c r="U4" s="1633">
        <v>2017</v>
      </c>
      <c r="V4" s="1634"/>
      <c r="W4" s="1635"/>
      <c r="X4" s="1636"/>
      <c r="Y4" s="1633">
        <v>2018</v>
      </c>
      <c r="Z4" s="1634"/>
      <c r="AA4" s="1635"/>
      <c r="AB4" s="1636"/>
      <c r="AC4" s="1613">
        <v>2019</v>
      </c>
      <c r="AD4" s="1614"/>
      <c r="AE4" s="1615"/>
      <c r="AF4" s="1615"/>
      <c r="AG4" s="1616"/>
      <c r="AH4" s="1613">
        <v>2020</v>
      </c>
      <c r="AI4" s="1614"/>
      <c r="AJ4" s="1615"/>
      <c r="AK4" s="1615"/>
      <c r="AL4" s="1638">
        <v>2021</v>
      </c>
      <c r="AM4" s="1639"/>
      <c r="AN4" s="1639"/>
      <c r="AO4" s="1640"/>
      <c r="AP4" s="1637">
        <v>2022</v>
      </c>
      <c r="AQ4" s="1637"/>
      <c r="AR4" s="1637"/>
      <c r="AS4" s="1637"/>
    </row>
    <row r="5" spans="1:45" ht="13.5" thickBot="1" x14ac:dyDescent="0.25">
      <c r="A5" s="1612"/>
      <c r="B5" s="137"/>
      <c r="C5" s="138"/>
      <c r="D5" s="199" t="s">
        <v>145</v>
      </c>
      <c r="E5" s="199" t="s">
        <v>4</v>
      </c>
      <c r="F5" s="199" t="s">
        <v>3</v>
      </c>
      <c r="G5" s="199" t="s">
        <v>5</v>
      </c>
      <c r="H5" s="199" t="s">
        <v>782</v>
      </c>
      <c r="I5" s="786" t="s">
        <v>145</v>
      </c>
      <c r="J5" s="786" t="s">
        <v>4</v>
      </c>
      <c r="K5" s="786" t="s">
        <v>3</v>
      </c>
      <c r="L5" s="786" t="s">
        <v>5</v>
      </c>
      <c r="M5" s="786" t="s">
        <v>145</v>
      </c>
      <c r="N5" s="786" t="s">
        <v>4</v>
      </c>
      <c r="O5" s="787" t="s">
        <v>3</v>
      </c>
      <c r="P5" s="787" t="s">
        <v>5</v>
      </c>
      <c r="Q5" s="787" t="s">
        <v>145</v>
      </c>
      <c r="R5" s="787" t="s">
        <v>4</v>
      </c>
      <c r="S5" s="787" t="s">
        <v>3</v>
      </c>
      <c r="T5" s="787" t="s">
        <v>5</v>
      </c>
      <c r="U5" s="787" t="s">
        <v>145</v>
      </c>
      <c r="V5" s="787" t="s">
        <v>4</v>
      </c>
      <c r="W5" s="787" t="s">
        <v>3</v>
      </c>
      <c r="X5" s="857" t="s">
        <v>5</v>
      </c>
      <c r="Y5" s="787" t="s">
        <v>145</v>
      </c>
      <c r="Z5" s="787" t="s">
        <v>4</v>
      </c>
      <c r="AA5" s="787" t="s">
        <v>3</v>
      </c>
      <c r="AB5" s="787" t="s">
        <v>5</v>
      </c>
      <c r="AC5" s="1467" t="s">
        <v>145</v>
      </c>
      <c r="AD5" s="1467" t="s">
        <v>4</v>
      </c>
      <c r="AE5" s="1467" t="s">
        <v>3</v>
      </c>
      <c r="AF5" s="1467" t="s">
        <v>5</v>
      </c>
      <c r="AG5" s="1467" t="s">
        <v>700</v>
      </c>
      <c r="AH5" s="1467" t="s">
        <v>145</v>
      </c>
      <c r="AI5" s="1467" t="s">
        <v>4</v>
      </c>
      <c r="AJ5" s="1467" t="s">
        <v>3</v>
      </c>
      <c r="AK5" s="1468" t="s">
        <v>5</v>
      </c>
      <c r="AL5" s="200" t="s">
        <v>145</v>
      </c>
      <c r="AM5" s="200" t="s">
        <v>4</v>
      </c>
      <c r="AN5" s="200" t="s">
        <v>3</v>
      </c>
      <c r="AO5" s="981" t="s">
        <v>5</v>
      </c>
      <c r="AP5" s="201" t="s">
        <v>145</v>
      </c>
      <c r="AQ5" s="201" t="s">
        <v>4</v>
      </c>
      <c r="AR5" s="201" t="s">
        <v>3</v>
      </c>
      <c r="AS5" s="201" t="s">
        <v>5</v>
      </c>
    </row>
    <row r="6" spans="1:45" ht="35.450000000000003" customHeight="1" x14ac:dyDescent="0.2">
      <c r="A6" s="139"/>
      <c r="B6" s="140" t="s">
        <v>302</v>
      </c>
      <c r="C6" s="140"/>
      <c r="D6" s="23">
        <f>E6+G6+F6+H6</f>
        <v>762779.71027000004</v>
      </c>
      <c r="E6" s="23">
        <f>J6+N6+R6+V6+Z6+AD6+AI6+AM6+AQ6</f>
        <v>165867.15916999997</v>
      </c>
      <c r="F6" s="23">
        <f>K6+O6+S6+W6+AA6+AE6+AJ6+AN6+AR6</f>
        <v>391813.49726000003</v>
      </c>
      <c r="G6" s="23">
        <f>L6+P6+T6+X6+AB6+AF6+AK6+AO6+AS6</f>
        <v>204425.65384000001</v>
      </c>
      <c r="H6" s="23">
        <f>AG6</f>
        <v>673.4</v>
      </c>
      <c r="I6" s="788">
        <f t="shared" ref="I6:M6" si="0">I7+I27+I255</f>
        <v>49517.675000000003</v>
      </c>
      <c r="J6" s="788">
        <v>0</v>
      </c>
      <c r="K6" s="788">
        <v>36747.550000000003</v>
      </c>
      <c r="L6" s="788">
        <v>12770</v>
      </c>
      <c r="M6" s="788">
        <f t="shared" si="0"/>
        <v>38376.773999999998</v>
      </c>
      <c r="N6" s="788">
        <v>722.4</v>
      </c>
      <c r="O6" s="788">
        <v>27768.799999999999</v>
      </c>
      <c r="P6" s="788">
        <v>9885.5499999999993</v>
      </c>
      <c r="Q6" s="788">
        <f>R6+S6+T6</f>
        <v>47338.896280000001</v>
      </c>
      <c r="R6" s="788">
        <v>2386</v>
      </c>
      <c r="S6" s="788">
        <f>S7+S27+S255</f>
        <v>31261.712</v>
      </c>
      <c r="T6" s="789">
        <f>T7+T27+T255</f>
        <v>13691.184280000001</v>
      </c>
      <c r="U6" s="788">
        <f>V6+W6+X6</f>
        <v>55130.22292</v>
      </c>
      <c r="V6" s="788">
        <v>0</v>
      </c>
      <c r="W6" s="788">
        <f>W7+W27+W255</f>
        <v>36752.800199999998</v>
      </c>
      <c r="X6" s="788">
        <f>X7+X27+X255</f>
        <v>18377.422720000002</v>
      </c>
      <c r="Y6" s="788">
        <f>Z6+AA6+AB6</f>
        <v>49072.3</v>
      </c>
      <c r="Z6" s="788">
        <v>0</v>
      </c>
      <c r="AA6" s="788">
        <f>AA7+AA27+AA255</f>
        <v>28483</v>
      </c>
      <c r="AB6" s="788">
        <v>20589.3</v>
      </c>
      <c r="AC6" s="23">
        <f>AD6+AE6+AF6+AG6</f>
        <v>96013.735059999992</v>
      </c>
      <c r="AD6" s="23">
        <v>2979</v>
      </c>
      <c r="AE6" s="23">
        <f>AE7+AE27+AE255+AE259+AE261+AE265</f>
        <v>42203.435059999996</v>
      </c>
      <c r="AF6" s="23">
        <v>50157.9</v>
      </c>
      <c r="AG6" s="23">
        <f>AG7+AG27+AG255+AG259+AG265+AG261</f>
        <v>673.4</v>
      </c>
      <c r="AH6" s="23">
        <f>AI6+AJ6+AK6</f>
        <v>170699.64457999999</v>
      </c>
      <c r="AI6" s="982">
        <v>42394</v>
      </c>
      <c r="AJ6" s="982">
        <f>AJ7+AJ27+AJ254</f>
        <v>92379</v>
      </c>
      <c r="AK6" s="982">
        <f>AK7+AK27+AK254</f>
        <v>35926.64458</v>
      </c>
      <c r="AL6" s="845">
        <f>AM6+AN6+AO6</f>
        <v>221690.86633999998</v>
      </c>
      <c r="AM6" s="982">
        <f>AM7+AM27+AM254</f>
        <v>116260.15633999999</v>
      </c>
      <c r="AN6" s="982">
        <f>AN7+AN27+AN254</f>
        <v>64890.3</v>
      </c>
      <c r="AO6" s="982">
        <f>AO7+AO27+AO254</f>
        <v>40540.410000000003</v>
      </c>
      <c r="AP6" s="845">
        <f>AQ6+AR6+AS6</f>
        <v>34939.745090000004</v>
      </c>
      <c r="AQ6" s="23">
        <f>AQ7+AQ27+AQ254</f>
        <v>1125.60283</v>
      </c>
      <c r="AR6" s="23">
        <f>AR7+AR27+AR254</f>
        <v>31326.9</v>
      </c>
      <c r="AS6" s="23">
        <f>AS7+AS27+AS254</f>
        <v>2487.24226</v>
      </c>
    </row>
    <row r="7" spans="1:45" ht="48" x14ac:dyDescent="0.2">
      <c r="A7" s="139"/>
      <c r="B7" s="82" t="s">
        <v>195</v>
      </c>
      <c r="C7" s="82"/>
      <c r="D7" s="23">
        <f>D8</f>
        <v>134733.44464</v>
      </c>
      <c r="E7" s="23">
        <f>J7+N7+R7+V7+Z7+AD7+AI7+AM7+AQ7+AQ7</f>
        <v>78746.122340000002</v>
      </c>
      <c r="F7" s="23">
        <f>K7+O7+S7+W7+AA7+AE7+AJ7+AN7+AR7+AR7</f>
        <v>32445.97</v>
      </c>
      <c r="G7" s="23">
        <f>L7+P7+T7+X7+AB7+AF7+AK7+AO7+AS7+AS7</f>
        <v>23541.352300000002</v>
      </c>
      <c r="H7" s="23">
        <f>AG7</f>
        <v>0</v>
      </c>
      <c r="I7" s="788">
        <f t="shared" ref="I7:X7" si="1">I8</f>
        <v>11479.645</v>
      </c>
      <c r="J7" s="788">
        <f>J8</f>
        <v>4.4999999999999998E-2</v>
      </c>
      <c r="K7" s="788">
        <f>K8</f>
        <v>8737.74</v>
      </c>
      <c r="L7" s="788">
        <f t="shared" si="1"/>
        <v>2741.86</v>
      </c>
      <c r="M7" s="788">
        <f t="shared" si="1"/>
        <v>1000.023</v>
      </c>
      <c r="N7" s="788">
        <f t="shared" si="1"/>
        <v>1.3000000000000001E-2</v>
      </c>
      <c r="O7" s="788">
        <f t="shared" si="1"/>
        <v>0</v>
      </c>
      <c r="P7" s="788">
        <f t="shared" si="1"/>
        <v>1000.01</v>
      </c>
      <c r="Q7" s="788">
        <f t="shared" si="1"/>
        <v>3180.0079999999998</v>
      </c>
      <c r="R7" s="788">
        <f t="shared" si="1"/>
        <v>8.0000000000000002E-3</v>
      </c>
      <c r="S7" s="788">
        <f t="shared" si="1"/>
        <v>0</v>
      </c>
      <c r="T7" s="788">
        <f t="shared" si="1"/>
        <v>3180</v>
      </c>
      <c r="U7" s="788">
        <f t="shared" si="1"/>
        <v>0.01</v>
      </c>
      <c r="V7" s="788">
        <f t="shared" si="1"/>
        <v>0</v>
      </c>
      <c r="W7" s="788">
        <f t="shared" si="1"/>
        <v>0</v>
      </c>
      <c r="X7" s="788">
        <f t="shared" si="1"/>
        <v>0.01</v>
      </c>
      <c r="Y7" s="1157">
        <f>Z7+AA7+AB7</f>
        <v>490.02</v>
      </c>
      <c r="Z7" s="1157">
        <f>Z8</f>
        <v>0</v>
      </c>
      <c r="AA7" s="1158">
        <f>AA8</f>
        <v>0</v>
      </c>
      <c r="AB7" s="1157">
        <f>AB8</f>
        <v>490.02</v>
      </c>
      <c r="AC7" s="361">
        <f>AD7+AE7+AF7</f>
        <v>19314.332300000002</v>
      </c>
      <c r="AD7" s="361">
        <f>AD8</f>
        <v>0</v>
      </c>
      <c r="AE7" s="845">
        <f>AE8</f>
        <v>9772.33</v>
      </c>
      <c r="AF7" s="845">
        <f>AF8</f>
        <v>9542.0023000000001</v>
      </c>
      <c r="AG7" s="845">
        <f>AG8</f>
        <v>0</v>
      </c>
      <c r="AH7" s="361">
        <f>AI7+AJ7+AK7</f>
        <v>19323.349999999999</v>
      </c>
      <c r="AI7" s="361">
        <f>AI8</f>
        <v>0</v>
      </c>
      <c r="AJ7" s="361">
        <f>AJ8</f>
        <v>13935.9</v>
      </c>
      <c r="AK7" s="361">
        <f>AK8</f>
        <v>5387.45</v>
      </c>
      <c r="AL7" s="907">
        <f>AM7+AN7+AO7</f>
        <v>79946.056339999996</v>
      </c>
      <c r="AM7" s="361">
        <f>AM8</f>
        <v>78746.056339999996</v>
      </c>
      <c r="AN7" s="361">
        <f>AN8</f>
        <v>0</v>
      </c>
      <c r="AO7" s="361">
        <f>AO8</f>
        <v>1200</v>
      </c>
      <c r="AP7" s="907">
        <f>AQ7+AR7+AS7</f>
        <v>0</v>
      </c>
      <c r="AQ7" s="361">
        <f>AQ8</f>
        <v>0</v>
      </c>
      <c r="AR7" s="361">
        <f>AR8</f>
        <v>0</v>
      </c>
      <c r="AS7" s="361">
        <f>AS8</f>
        <v>0</v>
      </c>
    </row>
    <row r="8" spans="1:45" ht="82.5" customHeight="1" x14ac:dyDescent="0.2">
      <c r="A8" s="652" t="s">
        <v>185</v>
      </c>
      <c r="B8" s="660" t="s">
        <v>788</v>
      </c>
      <c r="C8" s="660"/>
      <c r="D8" s="648">
        <f>E8+F8+G8</f>
        <v>134733.44464</v>
      </c>
      <c r="E8" s="648">
        <f>J8+N8+R8+V8+Z8+AD8+AI8+AM8+AQ8</f>
        <v>78746.122340000002</v>
      </c>
      <c r="F8" s="648">
        <f>K8+O8+S8+W8+AA8+AE8+AJ8+AN8+AR8</f>
        <v>32445.97</v>
      </c>
      <c r="G8" s="648">
        <f>L8+P8+T8+X8+AB8+AF8+AK8+AO8+AS8</f>
        <v>23541.352300000002</v>
      </c>
      <c r="H8" s="648">
        <f>AG8</f>
        <v>0</v>
      </c>
      <c r="I8" s="790">
        <f>I9+I10+I12+I13+I11</f>
        <v>11479.645</v>
      </c>
      <c r="J8" s="790">
        <f>J9+J10+J12+J13+J11</f>
        <v>4.4999999999999998E-2</v>
      </c>
      <c r="K8" s="790">
        <f>K9+K10+K12+K13+K11</f>
        <v>8737.74</v>
      </c>
      <c r="L8" s="790">
        <f>L9+L10+L12+L13+L11</f>
        <v>2741.86</v>
      </c>
      <c r="M8" s="790">
        <f t="shared" ref="M8:S8" si="2">M9+M10+M12+M13+M11</f>
        <v>1000.023</v>
      </c>
      <c r="N8" s="790">
        <f t="shared" si="2"/>
        <v>1.3000000000000001E-2</v>
      </c>
      <c r="O8" s="790">
        <f t="shared" si="2"/>
        <v>0</v>
      </c>
      <c r="P8" s="790">
        <f t="shared" si="2"/>
        <v>1000.01</v>
      </c>
      <c r="Q8" s="790">
        <f>R8+S8+T8</f>
        <v>3180.0079999999998</v>
      </c>
      <c r="R8" s="790">
        <f t="shared" si="2"/>
        <v>8.0000000000000002E-3</v>
      </c>
      <c r="S8" s="790">
        <f t="shared" si="2"/>
        <v>0</v>
      </c>
      <c r="T8" s="790">
        <f>T9+T10+T12+T13+T11+T14+T15+T16+T17</f>
        <v>3180</v>
      </c>
      <c r="U8" s="790">
        <f>V8+W8+X8</f>
        <v>0.01</v>
      </c>
      <c r="V8" s="790">
        <f>V9+V10+V12+V13+V11+V14+V15+V16</f>
        <v>0</v>
      </c>
      <c r="W8" s="790">
        <f>W9+W10+W12+W13+W11+W14+W15+W16</f>
        <v>0</v>
      </c>
      <c r="X8" s="790">
        <f>X9+X10+X12+X13+X11+X14+X15+X16</f>
        <v>0.01</v>
      </c>
      <c r="Y8" s="817">
        <f>Z8+AA8+AB8</f>
        <v>490.02</v>
      </c>
      <c r="Z8" s="790">
        <f>Z9+Z10+Z12+Z13+Z11+Z14+Z15+Z16+Z17+Z18</f>
        <v>0</v>
      </c>
      <c r="AA8" s="790">
        <f>AA9+AA10+AA12+AA13+AA11+AA14+AA15+AA16+AA17+AA18</f>
        <v>0</v>
      </c>
      <c r="AB8" s="1197">
        <f>AB9+AB10+AB12+AB13+AB11+AB14+AB15+AB16+AB17+AB18+AB19+AB21</f>
        <v>490.02</v>
      </c>
      <c r="AC8" s="650">
        <f>AD8+AE8+AF8</f>
        <v>19314.332300000002</v>
      </c>
      <c r="AD8" s="1106">
        <f>AD9+AD10+AD12+AD13+AD11+AD14+AD15+AD16</f>
        <v>0</v>
      </c>
      <c r="AE8" s="1106">
        <f>AE9+AE10+AE12+AE13+AE11+AE14+AE15+AE16+AE17+AE18+AE19+AE20+AE21+AE22+AE23+AE24</f>
        <v>9772.33</v>
      </c>
      <c r="AF8" s="1106">
        <f>AF9+AF10+AF12+AF13+AF11+AF14+AF15+AF16+AF17+AF18+AF19+AF20+AF21+AF22+AF23+AF24</f>
        <v>9542.0023000000001</v>
      </c>
      <c r="AG8" s="651">
        <f>AG9+AG10+AG12+AG13+AG11+AG14+AG15+AG16+AG17+AG18+AG19+AG21+AG22+AG23</f>
        <v>0</v>
      </c>
      <c r="AH8" s="651">
        <f>AI8+AJ8+AK8</f>
        <v>19323.349999999999</v>
      </c>
      <c r="AI8" s="651">
        <f t="shared" ref="AI8:AJ8" si="3">SUM(AI9:AI26)</f>
        <v>0</v>
      </c>
      <c r="AJ8" s="651">
        <f t="shared" si="3"/>
        <v>13935.9</v>
      </c>
      <c r="AK8" s="651">
        <f>SUM(AK9:AK26)</f>
        <v>5387.45</v>
      </c>
      <c r="AL8" s="651">
        <f>AM8+AN8+AO8</f>
        <v>79946.056339999996</v>
      </c>
      <c r="AM8" s="651">
        <f>AM9+AM10+AM12+AM13+AM11+AM14+AM15+AM16+AM25</f>
        <v>78746.056339999996</v>
      </c>
      <c r="AN8" s="651">
        <f>AN9+AN10+AN12+AN13+AN11+AN14+AN15+AN16+AN25</f>
        <v>0</v>
      </c>
      <c r="AO8" s="651">
        <f>AO9+AO10+AO12+AO13+AO11+AO14+AO15+AO16+AO25</f>
        <v>1200</v>
      </c>
      <c r="AP8" s="651">
        <f>AP9+AP10+AP12+AP13+AP11+AP14+AP15+AP16</f>
        <v>0</v>
      </c>
      <c r="AQ8" s="651">
        <f>AQ9+AQ10+AQ12+AQ13+AQ11+AQ14+AQ15+AQ16</f>
        <v>0</v>
      </c>
      <c r="AR8" s="651">
        <f>AR9+AR10+AR12+AR13+AR11+AR14+AR15+AR16</f>
        <v>0</v>
      </c>
      <c r="AS8" s="651">
        <f>AS9+AS10+AS12+AS13+AS11+AS14+AS15+AS16</f>
        <v>0</v>
      </c>
    </row>
    <row r="9" spans="1:45" ht="58.5" customHeight="1" x14ac:dyDescent="0.25">
      <c r="A9" s="198" t="s">
        <v>6</v>
      </c>
      <c r="B9" s="102" t="s">
        <v>274</v>
      </c>
      <c r="C9" s="70" t="s">
        <v>62</v>
      </c>
      <c r="D9" s="26">
        <f>E9+F9+G9</f>
        <v>1.9E-2</v>
      </c>
      <c r="E9" s="26">
        <f t="shared" ref="E9:F13" si="4">J9+N9+R9+V9+Z9+AD9</f>
        <v>1.9E-2</v>
      </c>
      <c r="F9" s="26">
        <f t="shared" si="4"/>
        <v>0</v>
      </c>
      <c r="G9" s="26">
        <f t="shared" ref="G9:G40" si="5">L9+P9+T9+X9+AB9+AF9+AK9+AO9+AS9</f>
        <v>0</v>
      </c>
      <c r="H9" s="24"/>
      <c r="I9" s="791">
        <f>J9+K9+L9</f>
        <v>5.0000000000000001E-3</v>
      </c>
      <c r="J9" s="791">
        <v>5.0000000000000001E-3</v>
      </c>
      <c r="K9" s="791"/>
      <c r="L9" s="791"/>
      <c r="M9" s="791">
        <f>N9+O9+P9</f>
        <v>6.0000000000000001E-3</v>
      </c>
      <c r="N9" s="791">
        <v>6.0000000000000001E-3</v>
      </c>
      <c r="O9" s="791"/>
      <c r="P9" s="791"/>
      <c r="Q9" s="791">
        <f>R9+S9+T9</f>
        <v>8.0000000000000002E-3</v>
      </c>
      <c r="R9" s="791">
        <v>8.0000000000000002E-3</v>
      </c>
      <c r="S9" s="791"/>
      <c r="T9" s="791"/>
      <c r="U9" s="791">
        <f>V9+W9+X9</f>
        <v>0</v>
      </c>
      <c r="V9" s="791"/>
      <c r="W9" s="791"/>
      <c r="X9" s="791"/>
      <c r="Y9" s="799">
        <f t="shared" ref="Y9:Y21" si="6">Z9+AA9+AB9</f>
        <v>0</v>
      </c>
      <c r="Z9" s="861"/>
      <c r="AA9" s="861"/>
      <c r="AB9" s="861"/>
      <c r="AC9" s="624">
        <f t="shared" ref="AC9:AC25" si="7">AD9+AE9+AF9</f>
        <v>0</v>
      </c>
      <c r="AD9" s="1554">
        <v>0</v>
      </c>
      <c r="AE9" s="623"/>
      <c r="AF9" s="623"/>
      <c r="AG9" s="623"/>
      <c r="AH9" s="749">
        <f>AI9+AJ9+AK9</f>
        <v>0</v>
      </c>
      <c r="AI9" s="749"/>
      <c r="AJ9" s="749"/>
      <c r="AK9" s="984"/>
      <c r="AL9" s="913"/>
      <c r="AM9" s="913"/>
      <c r="AN9" s="913"/>
      <c r="AO9" s="913"/>
      <c r="AP9" s="913"/>
      <c r="AQ9" s="913"/>
      <c r="AR9" s="913"/>
      <c r="AS9" s="913"/>
    </row>
    <row r="10" spans="1:45" ht="112.5" customHeight="1" x14ac:dyDescent="0.25">
      <c r="A10" s="98" t="s">
        <v>8</v>
      </c>
      <c r="B10" s="68" t="s">
        <v>241</v>
      </c>
      <c r="C10" s="68" t="s">
        <v>82</v>
      </c>
      <c r="D10" s="26">
        <f t="shared" ref="D10:D26" si="8">E10+F10+G10</f>
        <v>6002.2569999999996</v>
      </c>
      <c r="E10" s="24">
        <f t="shared" si="4"/>
        <v>7.0000000000000001E-3</v>
      </c>
      <c r="F10" s="24">
        <f t="shared" si="4"/>
        <v>4669.21</v>
      </c>
      <c r="G10" s="26">
        <f t="shared" si="5"/>
        <v>1333.04</v>
      </c>
      <c r="H10" s="24"/>
      <c r="I10" s="792">
        <f>J10+K10+L10</f>
        <v>6002.24</v>
      </c>
      <c r="J10" s="792">
        <v>0</v>
      </c>
      <c r="K10" s="792">
        <v>4669.21</v>
      </c>
      <c r="L10" s="792">
        <v>1333.03</v>
      </c>
      <c r="M10" s="792">
        <f>N10+O10+P10</f>
        <v>7.0000000000000001E-3</v>
      </c>
      <c r="N10" s="792">
        <v>7.0000000000000001E-3</v>
      </c>
      <c r="O10" s="792"/>
      <c r="P10" s="792"/>
      <c r="Q10" s="792">
        <f>R10+S10+T10</f>
        <v>0</v>
      </c>
      <c r="R10" s="792">
        <v>0</v>
      </c>
      <c r="S10" s="791"/>
      <c r="T10" s="791"/>
      <c r="U10" s="791">
        <f>V10+W10+X10</f>
        <v>0</v>
      </c>
      <c r="V10" s="791"/>
      <c r="W10" s="791"/>
      <c r="X10" s="791"/>
      <c r="Y10" s="799">
        <f t="shared" si="6"/>
        <v>0.01</v>
      </c>
      <c r="Z10" s="861"/>
      <c r="AA10" s="861"/>
      <c r="AB10" s="863">
        <v>0.01</v>
      </c>
      <c r="AC10" s="624">
        <f t="shared" si="7"/>
        <v>0</v>
      </c>
      <c r="AD10" s="623"/>
      <c r="AE10" s="623"/>
      <c r="AF10" s="623"/>
      <c r="AG10" s="623"/>
      <c r="AH10" s="749">
        <f t="shared" ref="AH10:AH26" si="9">AI10+AJ10+AK10</f>
        <v>0</v>
      </c>
      <c r="AI10" s="749"/>
      <c r="AJ10" s="749"/>
      <c r="AK10" s="984"/>
      <c r="AL10" s="913"/>
      <c r="AM10" s="913"/>
      <c r="AN10" s="913"/>
      <c r="AO10" s="913"/>
      <c r="AP10" s="913"/>
      <c r="AQ10" s="913"/>
      <c r="AR10" s="913"/>
      <c r="AS10" s="913"/>
    </row>
    <row r="11" spans="1:45" ht="122.45" customHeight="1" x14ac:dyDescent="0.25">
      <c r="A11" s="141" t="s">
        <v>51</v>
      </c>
      <c r="B11" s="68" t="s">
        <v>242</v>
      </c>
      <c r="C11" s="69" t="s">
        <v>83</v>
      </c>
      <c r="D11" s="26">
        <f t="shared" si="8"/>
        <v>4068.57</v>
      </c>
      <c r="E11" s="24">
        <f t="shared" si="4"/>
        <v>0.04</v>
      </c>
      <c r="F11" s="1555">
        <f t="shared" si="4"/>
        <v>4068.53</v>
      </c>
      <c r="G11" s="26">
        <f t="shared" si="5"/>
        <v>0</v>
      </c>
      <c r="H11" s="24"/>
      <c r="I11" s="792">
        <f>J11+K11+L11</f>
        <v>4068.57</v>
      </c>
      <c r="J11" s="792">
        <v>0.04</v>
      </c>
      <c r="K11" s="792">
        <v>4068.53</v>
      </c>
      <c r="L11" s="792"/>
      <c r="M11" s="792"/>
      <c r="N11" s="792"/>
      <c r="O11" s="792"/>
      <c r="P11" s="792"/>
      <c r="Q11" s="792">
        <f>R11+S11+T11</f>
        <v>0</v>
      </c>
      <c r="R11" s="792"/>
      <c r="S11" s="791"/>
      <c r="T11" s="791"/>
      <c r="U11" s="791"/>
      <c r="V11" s="791"/>
      <c r="W11" s="791"/>
      <c r="X11" s="791"/>
      <c r="Y11" s="799">
        <f t="shared" si="6"/>
        <v>0</v>
      </c>
      <c r="Z11" s="861"/>
      <c r="AA11" s="861"/>
      <c r="AB11" s="861"/>
      <c r="AC11" s="624">
        <f t="shared" si="7"/>
        <v>0</v>
      </c>
      <c r="AD11" s="623"/>
      <c r="AE11" s="623"/>
      <c r="AF11" s="623"/>
      <c r="AG11" s="623"/>
      <c r="AH11" s="749">
        <f t="shared" si="9"/>
        <v>0</v>
      </c>
      <c r="AI11" s="749"/>
      <c r="AJ11" s="749"/>
      <c r="AK11" s="984"/>
      <c r="AL11" s="913"/>
      <c r="AM11" s="913"/>
      <c r="AN11" s="913"/>
      <c r="AO11" s="913"/>
      <c r="AP11" s="913"/>
      <c r="AQ11" s="913"/>
      <c r="AR11" s="913"/>
      <c r="AS11" s="913"/>
    </row>
    <row r="12" spans="1:45" ht="36.75" x14ac:dyDescent="0.25">
      <c r="A12" s="98" t="s">
        <v>202</v>
      </c>
      <c r="B12" s="68" t="s">
        <v>243</v>
      </c>
      <c r="C12" s="142" t="s">
        <v>115</v>
      </c>
      <c r="D12" s="26">
        <f t="shared" si="8"/>
        <v>608.86</v>
      </c>
      <c r="E12" s="24">
        <f t="shared" si="4"/>
        <v>0</v>
      </c>
      <c r="F12" s="24">
        <f t="shared" si="4"/>
        <v>0</v>
      </c>
      <c r="G12" s="26">
        <f t="shared" si="5"/>
        <v>608.86</v>
      </c>
      <c r="H12" s="24"/>
      <c r="I12" s="792">
        <f>J12+K12+L12</f>
        <v>608.83000000000004</v>
      </c>
      <c r="J12" s="792"/>
      <c r="K12" s="792"/>
      <c r="L12" s="792">
        <v>608.83000000000004</v>
      </c>
      <c r="M12" s="792">
        <f>N12+O12+P12</f>
        <v>0.01</v>
      </c>
      <c r="N12" s="795"/>
      <c r="O12" s="792"/>
      <c r="P12" s="792">
        <v>0.01</v>
      </c>
      <c r="Q12" s="792">
        <f>R12+S12+T12</f>
        <v>0</v>
      </c>
      <c r="R12" s="792"/>
      <c r="S12" s="791"/>
      <c r="T12" s="791"/>
      <c r="U12" s="791">
        <f>V12+W12+X12</f>
        <v>0.01</v>
      </c>
      <c r="V12" s="791"/>
      <c r="W12" s="791"/>
      <c r="X12" s="791">
        <v>0.01</v>
      </c>
      <c r="Y12" s="799">
        <f t="shared" si="6"/>
        <v>0.01</v>
      </c>
      <c r="Z12" s="861"/>
      <c r="AA12" s="861"/>
      <c r="AB12" s="863">
        <v>0.01</v>
      </c>
      <c r="AC12" s="624">
        <f t="shared" si="7"/>
        <v>0</v>
      </c>
      <c r="AD12" s="623"/>
      <c r="AE12" s="623"/>
      <c r="AF12" s="623"/>
      <c r="AG12" s="623"/>
      <c r="AH12" s="749">
        <f t="shared" si="9"/>
        <v>0</v>
      </c>
      <c r="AI12" s="749"/>
      <c r="AJ12" s="749"/>
      <c r="AK12" s="984"/>
      <c r="AL12" s="913"/>
      <c r="AM12" s="913"/>
      <c r="AN12" s="913"/>
      <c r="AO12" s="913"/>
      <c r="AP12" s="913"/>
      <c r="AQ12" s="913"/>
      <c r="AR12" s="913"/>
      <c r="AS12" s="913"/>
    </row>
    <row r="13" spans="1:45" ht="116.25" customHeight="1" x14ac:dyDescent="0.25">
      <c r="A13" s="98" t="s">
        <v>204</v>
      </c>
      <c r="B13" s="68" t="s">
        <v>276</v>
      </c>
      <c r="C13" s="68" t="s">
        <v>275</v>
      </c>
      <c r="D13" s="26">
        <f t="shared" si="8"/>
        <v>1800</v>
      </c>
      <c r="E13" s="24">
        <f t="shared" si="4"/>
        <v>0</v>
      </c>
      <c r="F13" s="24">
        <f t="shared" si="4"/>
        <v>0</v>
      </c>
      <c r="G13" s="26">
        <f t="shared" si="5"/>
        <v>1800</v>
      </c>
      <c r="H13" s="24"/>
      <c r="I13" s="792">
        <f>J13+K13+L13</f>
        <v>800</v>
      </c>
      <c r="J13" s="792"/>
      <c r="K13" s="792"/>
      <c r="L13" s="792">
        <v>800</v>
      </c>
      <c r="M13" s="792">
        <f>N13+O13+P13</f>
        <v>1000</v>
      </c>
      <c r="N13" s="792"/>
      <c r="O13" s="792"/>
      <c r="P13" s="1105">
        <v>1000</v>
      </c>
      <c r="Q13" s="792"/>
      <c r="R13" s="792"/>
      <c r="S13" s="791"/>
      <c r="T13" s="791"/>
      <c r="U13" s="791">
        <f>V13+W13+X13</f>
        <v>0</v>
      </c>
      <c r="V13" s="791"/>
      <c r="W13" s="791"/>
      <c r="X13" s="791"/>
      <c r="Y13" s="799">
        <f t="shared" si="6"/>
        <v>0</v>
      </c>
      <c r="Z13" s="861"/>
      <c r="AA13" s="861"/>
      <c r="AB13" s="861"/>
      <c r="AC13" s="624">
        <f t="shared" si="7"/>
        <v>0</v>
      </c>
      <c r="AD13" s="623"/>
      <c r="AE13" s="623"/>
      <c r="AF13" s="623"/>
      <c r="AG13" s="623"/>
      <c r="AH13" s="749">
        <f t="shared" si="9"/>
        <v>0</v>
      </c>
      <c r="AI13" s="749"/>
      <c r="AJ13" s="749"/>
      <c r="AK13" s="984"/>
      <c r="AL13" s="913"/>
      <c r="AM13" s="913"/>
      <c r="AN13" s="913"/>
      <c r="AO13" s="913"/>
      <c r="AP13" s="913"/>
      <c r="AQ13" s="913"/>
      <c r="AR13" s="913"/>
      <c r="AS13" s="913"/>
    </row>
    <row r="14" spans="1:45" ht="50.45" customHeight="1" x14ac:dyDescent="0.25">
      <c r="A14" s="198" t="s">
        <v>206</v>
      </c>
      <c r="B14" s="259" t="s">
        <v>335</v>
      </c>
      <c r="C14" s="102" t="s">
        <v>291</v>
      </c>
      <c r="D14" s="26">
        <f t="shared" si="8"/>
        <v>180</v>
      </c>
      <c r="E14" s="24">
        <f t="shared" ref="E14:F17" si="10">J14+N14+R14+V14+Z14+AD14+AI14</f>
        <v>0</v>
      </c>
      <c r="F14" s="24">
        <f t="shared" si="10"/>
        <v>0</v>
      </c>
      <c r="G14" s="26">
        <f t="shared" si="5"/>
        <v>180</v>
      </c>
      <c r="H14" s="24"/>
      <c r="I14" s="791"/>
      <c r="J14" s="791"/>
      <c r="K14" s="791"/>
      <c r="L14" s="791"/>
      <c r="M14" s="791"/>
      <c r="N14" s="791"/>
      <c r="O14" s="791"/>
      <c r="P14" s="791"/>
      <c r="Q14" s="791">
        <f>R14+S14+T14</f>
        <v>180</v>
      </c>
      <c r="R14" s="791"/>
      <c r="S14" s="791"/>
      <c r="T14" s="791">
        <v>180</v>
      </c>
      <c r="U14" s="791">
        <f>V14+W14+X14</f>
        <v>0</v>
      </c>
      <c r="V14" s="791"/>
      <c r="W14" s="791"/>
      <c r="X14" s="791"/>
      <c r="Y14" s="799">
        <f t="shared" si="6"/>
        <v>0</v>
      </c>
      <c r="Z14" s="861"/>
      <c r="AA14" s="861"/>
      <c r="AB14" s="861"/>
      <c r="AC14" s="624">
        <f t="shared" si="7"/>
        <v>0</v>
      </c>
      <c r="AD14" s="623"/>
      <c r="AE14" s="623"/>
      <c r="AF14" s="623"/>
      <c r="AG14" s="623"/>
      <c r="AH14" s="749">
        <f t="shared" si="9"/>
        <v>0</v>
      </c>
      <c r="AI14" s="783"/>
      <c r="AJ14" s="783"/>
      <c r="AK14" s="985"/>
      <c r="AL14" s="913"/>
      <c r="AM14" s="913"/>
      <c r="AN14" s="913"/>
      <c r="AO14" s="913"/>
      <c r="AP14" s="913"/>
      <c r="AQ14" s="913"/>
      <c r="AR14" s="913"/>
      <c r="AS14" s="913"/>
    </row>
    <row r="15" spans="1:45" ht="50.45" customHeight="1" x14ac:dyDescent="0.25">
      <c r="A15" s="198" t="s">
        <v>205</v>
      </c>
      <c r="B15" s="259" t="s">
        <v>381</v>
      </c>
      <c r="C15" s="102" t="s">
        <v>377</v>
      </c>
      <c r="D15" s="26">
        <f t="shared" si="8"/>
        <v>0</v>
      </c>
      <c r="E15" s="24">
        <f t="shared" si="10"/>
        <v>0</v>
      </c>
      <c r="F15" s="24">
        <f t="shared" si="10"/>
        <v>0</v>
      </c>
      <c r="G15" s="26">
        <f t="shared" si="5"/>
        <v>0</v>
      </c>
      <c r="H15" s="24"/>
      <c r="I15" s="791"/>
      <c r="J15" s="791"/>
      <c r="K15" s="791"/>
      <c r="L15" s="791"/>
      <c r="M15" s="791"/>
      <c r="N15" s="791"/>
      <c r="O15" s="791"/>
      <c r="P15" s="791"/>
      <c r="Q15" s="791">
        <f>R15+S15+T15</f>
        <v>0</v>
      </c>
      <c r="R15" s="791"/>
      <c r="S15" s="791"/>
      <c r="T15" s="791">
        <v>0</v>
      </c>
      <c r="U15" s="791">
        <f>V15+W15+X15</f>
        <v>0</v>
      </c>
      <c r="V15" s="791"/>
      <c r="W15" s="791"/>
      <c r="X15" s="791"/>
      <c r="Y15" s="799">
        <f t="shared" si="6"/>
        <v>0</v>
      </c>
      <c r="Z15" s="861"/>
      <c r="AA15" s="861"/>
      <c r="AB15" s="861"/>
      <c r="AC15" s="624">
        <f t="shared" si="7"/>
        <v>0</v>
      </c>
      <c r="AD15" s="623"/>
      <c r="AE15" s="623"/>
      <c r="AF15" s="623"/>
      <c r="AG15" s="623"/>
      <c r="AH15" s="749">
        <f t="shared" si="9"/>
        <v>0</v>
      </c>
      <c r="AI15" s="783"/>
      <c r="AJ15" s="783"/>
      <c r="AK15" s="985"/>
      <c r="AL15" s="913"/>
      <c r="AM15" s="913"/>
      <c r="AN15" s="913"/>
      <c r="AO15" s="913"/>
      <c r="AP15" s="913"/>
      <c r="AQ15" s="913"/>
      <c r="AR15" s="913"/>
      <c r="AS15" s="913"/>
    </row>
    <row r="16" spans="1:45" ht="42.6" customHeight="1" x14ac:dyDescent="0.25">
      <c r="A16" s="198" t="s">
        <v>207</v>
      </c>
      <c r="B16" s="146" t="s">
        <v>550</v>
      </c>
      <c r="C16" s="146" t="s">
        <v>97</v>
      </c>
      <c r="D16" s="26">
        <f t="shared" si="8"/>
        <v>0</v>
      </c>
      <c r="E16" s="24">
        <f t="shared" si="10"/>
        <v>0</v>
      </c>
      <c r="F16" s="24">
        <f t="shared" si="10"/>
        <v>0</v>
      </c>
      <c r="G16" s="26">
        <f t="shared" si="5"/>
        <v>0</v>
      </c>
      <c r="H16" s="24"/>
      <c r="I16" s="791"/>
      <c r="J16" s="791"/>
      <c r="K16" s="791"/>
      <c r="L16" s="791"/>
      <c r="M16" s="791"/>
      <c r="N16" s="791"/>
      <c r="O16" s="791"/>
      <c r="P16" s="791"/>
      <c r="Q16" s="791">
        <f>R16+S16+T16</f>
        <v>0</v>
      </c>
      <c r="R16" s="791"/>
      <c r="S16" s="791"/>
      <c r="T16" s="791">
        <v>0</v>
      </c>
      <c r="U16" s="791">
        <f>V16+W16+X16</f>
        <v>0</v>
      </c>
      <c r="V16" s="791"/>
      <c r="W16" s="791"/>
      <c r="X16" s="791"/>
      <c r="Y16" s="799">
        <f t="shared" si="6"/>
        <v>0</v>
      </c>
      <c r="Z16" s="861"/>
      <c r="AA16" s="861"/>
      <c r="AB16" s="861"/>
      <c r="AC16" s="624">
        <f t="shared" si="7"/>
        <v>0</v>
      </c>
      <c r="AD16" s="198"/>
      <c r="AE16" s="198"/>
      <c r="AF16" s="198"/>
      <c r="AG16" s="198"/>
      <c r="AH16" s="749">
        <f t="shared" si="9"/>
        <v>0</v>
      </c>
      <c r="AI16" s="783"/>
      <c r="AJ16" s="783"/>
      <c r="AK16" s="985"/>
      <c r="AL16" s="913"/>
      <c r="AM16" s="913"/>
      <c r="AN16" s="913"/>
      <c r="AO16" s="913"/>
      <c r="AP16" s="913"/>
      <c r="AQ16" s="913"/>
      <c r="AR16" s="913"/>
      <c r="AS16" s="913"/>
    </row>
    <row r="17" spans="1:45" ht="42.6" customHeight="1" x14ac:dyDescent="0.25">
      <c r="A17" s="198" t="s">
        <v>208</v>
      </c>
      <c r="B17" s="146" t="s">
        <v>552</v>
      </c>
      <c r="C17" s="783" t="s">
        <v>553</v>
      </c>
      <c r="D17" s="26">
        <f t="shared" si="8"/>
        <v>3000</v>
      </c>
      <c r="E17" s="24">
        <f t="shared" si="10"/>
        <v>0</v>
      </c>
      <c r="F17" s="24">
        <f t="shared" si="10"/>
        <v>0</v>
      </c>
      <c r="G17" s="26">
        <f t="shared" si="5"/>
        <v>3000</v>
      </c>
      <c r="H17" s="24"/>
      <c r="I17" s="791"/>
      <c r="J17" s="791"/>
      <c r="K17" s="791"/>
      <c r="L17" s="791"/>
      <c r="M17" s="791"/>
      <c r="N17" s="791"/>
      <c r="O17" s="791"/>
      <c r="P17" s="791"/>
      <c r="Q17" s="791">
        <f>R17+S17+T17</f>
        <v>3000</v>
      </c>
      <c r="R17" s="791"/>
      <c r="S17" s="791"/>
      <c r="T17" s="791">
        <v>3000</v>
      </c>
      <c r="U17" s="791"/>
      <c r="V17" s="791"/>
      <c r="W17" s="791"/>
      <c r="X17" s="791"/>
      <c r="Y17" s="799">
        <f t="shared" si="6"/>
        <v>0</v>
      </c>
      <c r="Z17" s="861"/>
      <c r="AA17" s="861"/>
      <c r="AB17" s="861"/>
      <c r="AC17" s="624">
        <f t="shared" si="7"/>
        <v>0</v>
      </c>
      <c r="AD17" s="198"/>
      <c r="AE17" s="198"/>
      <c r="AF17" s="198"/>
      <c r="AG17" s="198"/>
      <c r="AH17" s="749">
        <f t="shared" si="9"/>
        <v>0</v>
      </c>
      <c r="AI17" s="783"/>
      <c r="AJ17" s="783"/>
      <c r="AK17" s="985"/>
      <c r="AL17" s="913"/>
      <c r="AM17" s="913"/>
      <c r="AN17" s="913"/>
      <c r="AO17" s="913"/>
      <c r="AP17" s="913"/>
      <c r="AQ17" s="913"/>
      <c r="AR17" s="913"/>
      <c r="AS17" s="913"/>
    </row>
    <row r="18" spans="1:45" ht="48" customHeight="1" x14ac:dyDescent="0.25">
      <c r="A18" s="932" t="s">
        <v>209</v>
      </c>
      <c r="B18" s="918" t="s">
        <v>705</v>
      </c>
      <c r="C18" s="146" t="s">
        <v>706</v>
      </c>
      <c r="D18" s="26">
        <f t="shared" si="8"/>
        <v>290</v>
      </c>
      <c r="E18" s="24"/>
      <c r="F18" s="24"/>
      <c r="G18" s="26">
        <f t="shared" si="5"/>
        <v>290</v>
      </c>
      <c r="H18" s="24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9">
        <f t="shared" si="6"/>
        <v>255</v>
      </c>
      <c r="Z18" s="861"/>
      <c r="AA18" s="861"/>
      <c r="AB18" s="863">
        <f>4600-2000-1279.6-1065.4</f>
        <v>255</v>
      </c>
      <c r="AC18" s="624">
        <f t="shared" si="7"/>
        <v>35</v>
      </c>
      <c r="AD18" s="624"/>
      <c r="AE18" s="624"/>
      <c r="AF18" s="624">
        <v>35</v>
      </c>
      <c r="AG18" s="624"/>
      <c r="AH18" s="749">
        <f t="shared" si="9"/>
        <v>0</v>
      </c>
      <c r="AI18" s="749"/>
      <c r="AJ18" s="749"/>
      <c r="AK18" s="984"/>
      <c r="AL18" s="913"/>
      <c r="AM18" s="913"/>
      <c r="AN18" s="913"/>
      <c r="AO18" s="913"/>
      <c r="AP18" s="913"/>
      <c r="AQ18" s="913"/>
      <c r="AR18" s="913"/>
      <c r="AS18" s="913"/>
    </row>
    <row r="19" spans="1:45" ht="59.25" customHeight="1" x14ac:dyDescent="0.25">
      <c r="A19" s="932" t="s">
        <v>542</v>
      </c>
      <c r="B19" s="918" t="s">
        <v>652</v>
      </c>
      <c r="C19" s="146" t="s">
        <v>651</v>
      </c>
      <c r="D19" s="26">
        <f t="shared" si="8"/>
        <v>4977.9520000000002</v>
      </c>
      <c r="E19" s="24"/>
      <c r="F19" s="24"/>
      <c r="G19" s="26">
        <f t="shared" si="5"/>
        <v>4977.9520000000002</v>
      </c>
      <c r="H19" s="24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9">
        <f t="shared" si="6"/>
        <v>0</v>
      </c>
      <c r="Z19" s="861"/>
      <c r="AA19" s="861"/>
      <c r="AB19" s="863">
        <v>0</v>
      </c>
      <c r="AC19" s="624">
        <f>AD19+AE19+AF19</f>
        <v>4977.9520000000002</v>
      </c>
      <c r="AD19" s="624"/>
      <c r="AE19" s="624"/>
      <c r="AF19" s="889">
        <f>5000-22.048</f>
        <v>4977.9520000000002</v>
      </c>
      <c r="AG19" s="624"/>
      <c r="AH19" s="749">
        <f t="shared" si="9"/>
        <v>0</v>
      </c>
      <c r="AI19" s="749"/>
      <c r="AJ19" s="749"/>
      <c r="AK19" s="984">
        <v>0</v>
      </c>
      <c r="AL19" s="468"/>
      <c r="AM19" s="468"/>
      <c r="AN19" s="468"/>
      <c r="AO19" s="468">
        <v>0</v>
      </c>
      <c r="AP19" s="468"/>
      <c r="AQ19" s="468"/>
      <c r="AR19" s="468"/>
      <c r="AS19" s="468">
        <v>0</v>
      </c>
    </row>
    <row r="20" spans="1:45" ht="59.25" customHeight="1" x14ac:dyDescent="0.25">
      <c r="A20" s="887"/>
      <c r="B20" s="1062" t="s">
        <v>703</v>
      </c>
      <c r="C20" s="1061" t="s">
        <v>651</v>
      </c>
      <c r="D20" s="26">
        <f t="shared" si="8"/>
        <v>85.41</v>
      </c>
      <c r="E20" s="24"/>
      <c r="F20" s="24"/>
      <c r="G20" s="26">
        <f t="shared" si="5"/>
        <v>85.41</v>
      </c>
      <c r="H20" s="24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9"/>
      <c r="Z20" s="861"/>
      <c r="AA20" s="861"/>
      <c r="AB20" s="863"/>
      <c r="AC20" s="624">
        <f t="shared" si="7"/>
        <v>55.1</v>
      </c>
      <c r="AD20" s="624"/>
      <c r="AE20" s="624"/>
      <c r="AF20" s="889">
        <f>36-11.2+30.3</f>
        <v>55.1</v>
      </c>
      <c r="AG20" s="624"/>
      <c r="AH20" s="749">
        <f t="shared" si="9"/>
        <v>30.31</v>
      </c>
      <c r="AI20" s="749"/>
      <c r="AJ20" s="749"/>
      <c r="AK20" s="749">
        <v>30.31</v>
      </c>
      <c r="AL20" s="468"/>
      <c r="AM20" s="468"/>
      <c r="AN20" s="468"/>
      <c r="AO20" s="468"/>
      <c r="AP20" s="468"/>
      <c r="AQ20" s="468"/>
      <c r="AR20" s="468"/>
      <c r="AS20" s="468"/>
    </row>
    <row r="21" spans="1:45" ht="59.25" customHeight="1" x14ac:dyDescent="0.25">
      <c r="A21" s="887" t="s">
        <v>658</v>
      </c>
      <c r="B21" s="146" t="s">
        <v>657</v>
      </c>
      <c r="C21" s="146" t="s">
        <v>321</v>
      </c>
      <c r="D21" s="26">
        <f t="shared" si="8"/>
        <v>235</v>
      </c>
      <c r="E21" s="24"/>
      <c r="F21" s="24"/>
      <c r="G21" s="26">
        <f t="shared" si="5"/>
        <v>235</v>
      </c>
      <c r="H21" s="24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9">
        <f t="shared" si="6"/>
        <v>235</v>
      </c>
      <c r="Z21" s="861"/>
      <c r="AA21" s="861"/>
      <c r="AB21" s="863">
        <v>235</v>
      </c>
      <c r="AC21" s="624">
        <f t="shared" si="7"/>
        <v>0</v>
      </c>
      <c r="AD21" s="624"/>
      <c r="AE21" s="624"/>
      <c r="AF21" s="624"/>
      <c r="AG21" s="624"/>
      <c r="AH21" s="749">
        <f t="shared" si="9"/>
        <v>0</v>
      </c>
      <c r="AI21" s="749"/>
      <c r="AJ21" s="749"/>
      <c r="AK21" s="749"/>
      <c r="AL21" s="468"/>
      <c r="AM21" s="468"/>
      <c r="AN21" s="468"/>
      <c r="AO21" s="468"/>
      <c r="AP21" s="468"/>
      <c r="AQ21" s="468"/>
      <c r="AR21" s="468"/>
      <c r="AS21" s="468"/>
    </row>
    <row r="22" spans="1:45" ht="59.25" customHeight="1" x14ac:dyDescent="0.25">
      <c r="A22" s="1036" t="s">
        <v>695</v>
      </c>
      <c r="B22" s="92" t="s">
        <v>697</v>
      </c>
      <c r="C22" s="146" t="s">
        <v>93</v>
      </c>
      <c r="D22" s="26">
        <f t="shared" si="8"/>
        <v>555</v>
      </c>
      <c r="E22" s="24"/>
      <c r="F22" s="24"/>
      <c r="G22" s="26">
        <f t="shared" si="5"/>
        <v>555</v>
      </c>
      <c r="H22" s="24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9"/>
      <c r="Z22" s="861"/>
      <c r="AA22" s="861"/>
      <c r="AB22" s="863"/>
      <c r="AC22" s="624">
        <f t="shared" si="7"/>
        <v>555</v>
      </c>
      <c r="AD22" s="624"/>
      <c r="AE22" s="624"/>
      <c r="AF22" s="624">
        <f>700-145</f>
        <v>555</v>
      </c>
      <c r="AG22" s="624"/>
      <c r="AH22" s="749">
        <f t="shared" si="9"/>
        <v>0</v>
      </c>
      <c r="AI22" s="749"/>
      <c r="AJ22" s="749"/>
      <c r="AK22" s="749"/>
      <c r="AL22" s="468"/>
      <c r="AM22" s="468"/>
      <c r="AN22" s="468"/>
      <c r="AO22" s="468"/>
      <c r="AP22" s="468"/>
      <c r="AQ22" s="468"/>
      <c r="AR22" s="468"/>
      <c r="AS22" s="468"/>
    </row>
    <row r="23" spans="1:45" ht="59.25" customHeight="1" x14ac:dyDescent="0.25">
      <c r="A23" s="1036" t="s">
        <v>696</v>
      </c>
      <c r="B23" s="1563" t="s">
        <v>801</v>
      </c>
      <c r="C23" s="1564" t="s">
        <v>651</v>
      </c>
      <c r="D23" s="26">
        <f t="shared" si="8"/>
        <v>7134.62</v>
      </c>
      <c r="E23" s="24"/>
      <c r="F23" s="24"/>
      <c r="G23" s="26">
        <f t="shared" si="5"/>
        <v>7134.62</v>
      </c>
      <c r="H23" s="24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9"/>
      <c r="Z23" s="861"/>
      <c r="AA23" s="861"/>
      <c r="AB23" s="863"/>
      <c r="AC23" s="624">
        <f t="shared" si="7"/>
        <v>3404.62</v>
      </c>
      <c r="AD23" s="624"/>
      <c r="AE23" s="624"/>
      <c r="AF23" s="1471">
        <f>5000-1588.8-6.58</f>
        <v>3404.62</v>
      </c>
      <c r="AG23" s="624"/>
      <c r="AH23" s="749">
        <f t="shared" si="9"/>
        <v>3730</v>
      </c>
      <c r="AI23" s="749"/>
      <c r="AJ23" s="749"/>
      <c r="AK23" s="1565">
        <f>3400+330</f>
        <v>3730</v>
      </c>
      <c r="AL23" s="468"/>
      <c r="AM23" s="468"/>
      <c r="AN23" s="468"/>
      <c r="AO23" s="468"/>
      <c r="AP23" s="468"/>
      <c r="AQ23" s="468"/>
      <c r="AR23" s="468"/>
      <c r="AS23" s="468"/>
    </row>
    <row r="24" spans="1:45" ht="30.75" customHeight="1" x14ac:dyDescent="0.25">
      <c r="A24" s="1036" t="s">
        <v>710</v>
      </c>
      <c r="B24" s="146" t="s">
        <v>721</v>
      </c>
      <c r="C24" s="146" t="s">
        <v>70</v>
      </c>
      <c r="D24" s="26">
        <f t="shared" si="8"/>
        <v>16222.560299999999</v>
      </c>
      <c r="E24" s="26">
        <f>J24+N24+R24+V24+Z24+AD24+AI24+AM24+AQ24</f>
        <v>0</v>
      </c>
      <c r="F24" s="26">
        <f>K24+O24+S24+W24+AA24+AE24+AJ24+AN24+AR24</f>
        <v>15708.23</v>
      </c>
      <c r="G24" s="26">
        <f t="shared" si="5"/>
        <v>514.33029999999997</v>
      </c>
      <c r="H24" s="24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9"/>
      <c r="Z24" s="861"/>
      <c r="AA24" s="861"/>
      <c r="AB24" s="863"/>
      <c r="AC24" s="624">
        <f t="shared" si="7"/>
        <v>10286.6603</v>
      </c>
      <c r="AD24" s="624"/>
      <c r="AE24" s="624">
        <f>9500+272.33</f>
        <v>9772.33</v>
      </c>
      <c r="AF24" s="624">
        <f>500+14.3303</f>
        <v>514.33029999999997</v>
      </c>
      <c r="AG24" s="624"/>
      <c r="AH24" s="749">
        <f t="shared" si="9"/>
        <v>5935.9</v>
      </c>
      <c r="AI24" s="749"/>
      <c r="AJ24" s="749">
        <v>5935.9</v>
      </c>
      <c r="AK24" s="749"/>
      <c r="AL24" s="468"/>
      <c r="AM24" s="468"/>
      <c r="AN24" s="468"/>
      <c r="AO24" s="468"/>
      <c r="AP24" s="468"/>
      <c r="AQ24" s="468"/>
      <c r="AR24" s="468"/>
      <c r="AS24" s="468"/>
    </row>
    <row r="25" spans="1:45" ht="81.75" customHeight="1" x14ac:dyDescent="0.25">
      <c r="A25" s="1465" t="s">
        <v>753</v>
      </c>
      <c r="B25" s="68" t="s">
        <v>754</v>
      </c>
      <c r="C25" s="146" t="s">
        <v>26</v>
      </c>
      <c r="D25" s="26">
        <f t="shared" si="8"/>
        <v>2406.0100000000002</v>
      </c>
      <c r="E25" s="26"/>
      <c r="F25" s="26"/>
      <c r="G25" s="26">
        <f t="shared" si="5"/>
        <v>2406.0100000000002</v>
      </c>
      <c r="H25" s="24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9"/>
      <c r="Z25" s="861"/>
      <c r="AA25" s="861"/>
      <c r="AB25" s="863"/>
      <c r="AC25" s="624">
        <f t="shared" si="7"/>
        <v>0</v>
      </c>
      <c r="AD25" s="624"/>
      <c r="AE25" s="624"/>
      <c r="AF25" s="624"/>
      <c r="AG25" s="624"/>
      <c r="AH25" s="749">
        <f t="shared" si="9"/>
        <v>1206.01</v>
      </c>
      <c r="AI25" s="749"/>
      <c r="AJ25" s="749"/>
      <c r="AK25" s="749">
        <v>1206.01</v>
      </c>
      <c r="AL25" s="468"/>
      <c r="AM25" s="468">
        <v>78746.056339999996</v>
      </c>
      <c r="AN25" s="468"/>
      <c r="AO25" s="625">
        <v>1200</v>
      </c>
      <c r="AP25" s="625"/>
      <c r="AQ25" s="625"/>
      <c r="AR25" s="625"/>
      <c r="AS25" s="468"/>
    </row>
    <row r="26" spans="1:45" ht="54.75" customHeight="1" x14ac:dyDescent="0.25">
      <c r="A26" s="1526" t="s">
        <v>784</v>
      </c>
      <c r="B26" s="68" t="s">
        <v>789</v>
      </c>
      <c r="C26" s="146" t="s">
        <v>17</v>
      </c>
      <c r="D26" s="26">
        <f t="shared" si="8"/>
        <v>421.13</v>
      </c>
      <c r="E26" s="26"/>
      <c r="F26" s="26"/>
      <c r="G26" s="26">
        <f t="shared" si="5"/>
        <v>421.13</v>
      </c>
      <c r="H26" s="24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9"/>
      <c r="Z26" s="861"/>
      <c r="AA26" s="861"/>
      <c r="AB26" s="863"/>
      <c r="AC26" s="624"/>
      <c r="AD26" s="624"/>
      <c r="AE26" s="624"/>
      <c r="AF26" s="624"/>
      <c r="AG26" s="624"/>
      <c r="AH26" s="749">
        <f t="shared" si="9"/>
        <v>8421.1299999999992</v>
      </c>
      <c r="AI26" s="749"/>
      <c r="AJ26" s="749">
        <v>8000</v>
      </c>
      <c r="AK26" s="749">
        <v>421.13</v>
      </c>
      <c r="AL26" s="468"/>
      <c r="AM26" s="468"/>
      <c r="AN26" s="468"/>
      <c r="AO26" s="625"/>
      <c r="AP26" s="625"/>
      <c r="AQ26" s="625"/>
      <c r="AR26" s="625"/>
      <c r="AS26" s="468"/>
    </row>
    <row r="27" spans="1:45" ht="60" x14ac:dyDescent="0.2">
      <c r="A27" s="139"/>
      <c r="B27" s="82" t="s">
        <v>196</v>
      </c>
      <c r="C27" s="666"/>
      <c r="D27" s="23">
        <f t="shared" ref="D27:D60" si="11">E27+F27+G27</f>
        <v>389866.88714999997</v>
      </c>
      <c r="E27" s="23">
        <f t="shared" ref="E27:F30" si="12">J27+N27+R27+V27+Z27+AD27+AI27+AM27</f>
        <v>3108.4059999999999</v>
      </c>
      <c r="F27" s="23">
        <f t="shared" si="12"/>
        <v>259835.78519999998</v>
      </c>
      <c r="G27" s="23">
        <f t="shared" si="5"/>
        <v>126922.69594999998</v>
      </c>
      <c r="H27" s="23"/>
      <c r="I27" s="788">
        <f t="shared" ref="I27:P27" si="13">I29+I66+I155+I164+I233+I238</f>
        <v>37938.03</v>
      </c>
      <c r="J27" s="788">
        <f t="shared" si="13"/>
        <v>0</v>
      </c>
      <c r="K27" s="788">
        <f t="shared" si="13"/>
        <v>28009.899999999998</v>
      </c>
      <c r="L27" s="788">
        <f t="shared" si="13"/>
        <v>9928.1299999999992</v>
      </c>
      <c r="M27" s="788">
        <f t="shared" si="13"/>
        <v>37376.750999999997</v>
      </c>
      <c r="N27" s="788">
        <f t="shared" si="13"/>
        <v>722.4</v>
      </c>
      <c r="O27" s="788">
        <f t="shared" si="13"/>
        <v>27768.799999999999</v>
      </c>
      <c r="P27" s="788">
        <f t="shared" si="13"/>
        <v>8885.5509999999995</v>
      </c>
      <c r="Q27" s="788">
        <f>Q29+Q66+Q155+Q164+Q231+Q233+Q238</f>
        <v>44158.908279999996</v>
      </c>
      <c r="R27" s="788">
        <f>R29+R66+R155+R164+R233+R238</f>
        <v>2386.0059999999999</v>
      </c>
      <c r="S27" s="788">
        <f>S29+S66+S155+S164+S233+S238</f>
        <v>31261.712</v>
      </c>
      <c r="T27" s="788">
        <f>T29+T66+T155+T164+T231+T233+T238</f>
        <v>10511.184280000001</v>
      </c>
      <c r="U27" s="788">
        <f>V27+W27+X27</f>
        <v>55130.212920000005</v>
      </c>
      <c r="V27" s="788">
        <f>V29+V66+V155+V164+V233+V238</f>
        <v>0</v>
      </c>
      <c r="W27" s="788">
        <f>W29+W66+W155+W164+W233+W238</f>
        <v>36752.800199999998</v>
      </c>
      <c r="X27" s="788">
        <f>X29+X66+X155+X164+X231+X233+X238</f>
        <v>18377.412720000004</v>
      </c>
      <c r="Y27" s="1198">
        <f>Z27+AA27+AB27</f>
        <v>48417.329180000001</v>
      </c>
      <c r="Z27" s="788">
        <f>Z29+Z66+Z155+Z164+Z233+Z238</f>
        <v>0</v>
      </c>
      <c r="AA27" s="788">
        <f>AA29+AA66+AA155+AA164+AA233+AA238</f>
        <v>28483</v>
      </c>
      <c r="AB27" s="788">
        <f>AB29+AB66+AB155+AB164+AB231+AB233+AB238</f>
        <v>19934.329179999997</v>
      </c>
      <c r="AC27" s="845">
        <f>AD27+AE27+AF27</f>
        <v>68484.556769999981</v>
      </c>
      <c r="AD27" s="23">
        <f>AD29+AD66+AD155+AD164+AD233+AD238</f>
        <v>0</v>
      </c>
      <c r="AE27" s="23">
        <f>AE29+AE66+AE155+AE164+AE233+AE238</f>
        <v>30821.073</v>
      </c>
      <c r="AF27" s="23">
        <f>AF29+AF66+AF155+AF164+AF231+AF233+AF238</f>
        <v>37663.483769999984</v>
      </c>
      <c r="AG27" s="919"/>
      <c r="AH27" s="361">
        <f>AI27+AJ27+AK27</f>
        <v>63374.304999999993</v>
      </c>
      <c r="AI27" s="23">
        <f>AI29+AI66+AI155+AI164+AI233+AI238</f>
        <v>0</v>
      </c>
      <c r="AJ27" s="23">
        <f>AJ29+AJ66+AJ155+AJ164+AJ233+AJ238</f>
        <v>46607.7</v>
      </c>
      <c r="AK27" s="626">
        <f>AK29+AK66+AK155+AK164+AK231+AK233+AK238</f>
        <v>16766.605</v>
      </c>
      <c r="AL27" s="1436">
        <f>AM27+AN27+AO27</f>
        <v>32558.799999999999</v>
      </c>
      <c r="AM27" s="1194">
        <f>AM29+AM66+AM155+AM164+AM231+AM233+AM238</f>
        <v>0</v>
      </c>
      <c r="AN27" s="1194">
        <f>AN29+AN66+AN155+AN164+AN231+AN233+AN238</f>
        <v>30130.799999999999</v>
      </c>
      <c r="AO27" s="626">
        <f>AO29+AO66+AO155+AO164+AO231+AO233+AO238</f>
        <v>2428</v>
      </c>
      <c r="AP27" s="1436">
        <f>AQ27+AR27+AS27</f>
        <v>33754.9</v>
      </c>
      <c r="AQ27" s="626">
        <f>AQ29+AQ66+AQ155+AQ164+AQ231+AQ233+AQ238</f>
        <v>0</v>
      </c>
      <c r="AR27" s="626">
        <f>AR29+AR66+AR155+AR164+AR231+AR233+AR238</f>
        <v>31326.9</v>
      </c>
      <c r="AS27" s="1194">
        <f>AS29+AS66+AS155+AS164+AS231+AS233+AS238</f>
        <v>2428</v>
      </c>
    </row>
    <row r="28" spans="1:45" ht="78" customHeight="1" x14ac:dyDescent="0.2">
      <c r="A28" s="652" t="s">
        <v>13</v>
      </c>
      <c r="B28" s="660" t="s">
        <v>244</v>
      </c>
      <c r="C28" s="664"/>
      <c r="D28" s="648">
        <f t="shared" si="11"/>
        <v>126683.57548999999</v>
      </c>
      <c r="E28" s="648">
        <f t="shared" si="12"/>
        <v>0</v>
      </c>
      <c r="F28" s="648">
        <f t="shared" si="12"/>
        <v>26428.285199999998</v>
      </c>
      <c r="G28" s="648">
        <f t="shared" si="5"/>
        <v>100255.29028999999</v>
      </c>
      <c r="H28" s="648"/>
      <c r="I28" s="790">
        <f>J28+K28+L28</f>
        <v>3824.93</v>
      </c>
      <c r="J28" s="790">
        <f>J29+J66+J155+J164</f>
        <v>0</v>
      </c>
      <c r="K28" s="790">
        <f>K29+K66+K155+K164</f>
        <v>0</v>
      </c>
      <c r="L28" s="790">
        <f>L29+L66+L155+L164</f>
        <v>3824.93</v>
      </c>
      <c r="M28" s="790">
        <f>N28+O28+P28</f>
        <v>7610.451</v>
      </c>
      <c r="N28" s="790">
        <f>N29+N66+N155+N164</f>
        <v>0</v>
      </c>
      <c r="O28" s="790">
        <f>O29+O66+O155+O164</f>
        <v>1929.6999999999998</v>
      </c>
      <c r="P28" s="790">
        <f>P29+P66+P155+P164</f>
        <v>5680.7510000000002</v>
      </c>
      <c r="Q28" s="790">
        <f>R28+S28+T28</f>
        <v>9298.0524400000013</v>
      </c>
      <c r="R28" s="790">
        <f>R29+R66+R155+R164</f>
        <v>0</v>
      </c>
      <c r="S28" s="790">
        <f>S29+S66+S155+S164</f>
        <v>1673.5119999999999</v>
      </c>
      <c r="T28" s="790">
        <f>T29+T66+T155+T164+T231</f>
        <v>7624.5404400000007</v>
      </c>
      <c r="U28" s="790">
        <f>V28+W28+X28</f>
        <v>18255.522919999999</v>
      </c>
      <c r="V28" s="790">
        <f>V29+V66+V155+V164</f>
        <v>0</v>
      </c>
      <c r="W28" s="790">
        <f>W29+W66+W155+W164</f>
        <v>1910.6001999999999</v>
      </c>
      <c r="X28" s="790">
        <f>X29+X66+X155+X164+X231</f>
        <v>16344.92272</v>
      </c>
      <c r="Y28" s="817">
        <f>Z28+AA28+AB28</f>
        <v>18571.964179999995</v>
      </c>
      <c r="Z28" s="790">
        <f>Z29+Z66+Z155+Z164</f>
        <v>0</v>
      </c>
      <c r="AA28" s="790">
        <f>AA29+AA66+AA155+AA164</f>
        <v>908.3</v>
      </c>
      <c r="AB28" s="790">
        <f>AB29+AB66+AB155+AB164+AB231</f>
        <v>17663.664179999996</v>
      </c>
      <c r="AC28" s="665">
        <f>AD28+AE28+AF28</f>
        <v>37813.24994999999</v>
      </c>
      <c r="AD28" s="651">
        <f>AD29+AD66+AD155+AD164+AD231</f>
        <v>0</v>
      </c>
      <c r="AE28" s="651">
        <f>AE29+AE66+AE155+AE164+AE231</f>
        <v>2563.3729999999996</v>
      </c>
      <c r="AF28" s="651">
        <f>AF29+AF66+AF155+AF164+AF231</f>
        <v>35249.876949999991</v>
      </c>
      <c r="AG28" s="651"/>
      <c r="AH28" s="687">
        <f>AI28+AJ28+AK28</f>
        <v>31309.404999999999</v>
      </c>
      <c r="AI28" s="651">
        <f>AI29+AI66+AI155+AI164+AI231</f>
        <v>0</v>
      </c>
      <c r="AJ28" s="651">
        <f>AJ29+AJ66+AJ155+AJ164+AJ231</f>
        <v>17442.8</v>
      </c>
      <c r="AK28" s="983">
        <f>AK29+AK66+AK155+AK164+AK231</f>
        <v>13866.605</v>
      </c>
      <c r="AL28" s="909">
        <f>AM28+AN28+AO28</f>
        <v>0</v>
      </c>
      <c r="AM28" s="999">
        <f>AM29+AM66+AM155+AM164+AM231</f>
        <v>0</v>
      </c>
      <c r="AN28" s="999">
        <f>AN29+AN66+AN155+AN164+AN231</f>
        <v>0</v>
      </c>
      <c r="AO28" s="999">
        <f>AO29+AO66+AO155+AO164+AO231</f>
        <v>0</v>
      </c>
      <c r="AP28" s="909">
        <f>AQ28+AR28+AS28</f>
        <v>0</v>
      </c>
      <c r="AQ28" s="1195">
        <f>AQ29+AQ66+AQ155+AQ164+AQ231</f>
        <v>0</v>
      </c>
      <c r="AR28" s="1195">
        <f>AR29+AR66+AR155+AR164+AR231</f>
        <v>0</v>
      </c>
      <c r="AS28" s="1195">
        <f>AS29+AS66+AS155+AS164+AS231</f>
        <v>0</v>
      </c>
    </row>
    <row r="29" spans="1:45" ht="48.6" customHeight="1" x14ac:dyDescent="0.2">
      <c r="A29" s="693" t="s">
        <v>14</v>
      </c>
      <c r="B29" s="169" t="s">
        <v>245</v>
      </c>
      <c r="C29" s="169"/>
      <c r="D29" s="202">
        <f t="shared" si="11"/>
        <v>7581.8879999999999</v>
      </c>
      <c r="E29" s="202">
        <f t="shared" si="12"/>
        <v>0</v>
      </c>
      <c r="F29" s="202">
        <f t="shared" si="12"/>
        <v>1003.8509999999999</v>
      </c>
      <c r="G29" s="202">
        <f t="shared" si="5"/>
        <v>6578.0370000000003</v>
      </c>
      <c r="H29" s="202"/>
      <c r="I29" s="793">
        <f t="shared" ref="I29:O29" si="14">SUM(I30:I52)</f>
        <v>137.30000000000001</v>
      </c>
      <c r="J29" s="793">
        <f t="shared" si="14"/>
        <v>0</v>
      </c>
      <c r="K29" s="793">
        <f t="shared" si="14"/>
        <v>0</v>
      </c>
      <c r="L29" s="793">
        <f t="shared" si="14"/>
        <v>137.30000000000001</v>
      </c>
      <c r="M29" s="793">
        <f t="shared" si="14"/>
        <v>3076.8850000000002</v>
      </c>
      <c r="N29" s="793">
        <f t="shared" si="14"/>
        <v>0</v>
      </c>
      <c r="O29" s="793">
        <f t="shared" si="14"/>
        <v>1003.8509999999999</v>
      </c>
      <c r="P29" s="793">
        <f>SUM(P30:P53)</f>
        <v>2073.0340000000001</v>
      </c>
      <c r="Q29" s="794">
        <f>R29+S29+T29</f>
        <v>1081.81</v>
      </c>
      <c r="R29" s="793">
        <f>SUM(R30:R52)</f>
        <v>0</v>
      </c>
      <c r="S29" s="793">
        <f>SUM(S30:S53)</f>
        <v>0</v>
      </c>
      <c r="T29" s="793">
        <f>SUM(T30:T57)</f>
        <v>1081.81</v>
      </c>
      <c r="U29" s="793">
        <f>V29+W29+X29</f>
        <v>372.2</v>
      </c>
      <c r="V29" s="793">
        <f>SUM(V30:V52)</f>
        <v>0</v>
      </c>
      <c r="W29" s="793">
        <f>SUM(W30:W52)</f>
        <v>0</v>
      </c>
      <c r="X29" s="793">
        <f>SUM(X30:X58)</f>
        <v>372.2</v>
      </c>
      <c r="Y29" s="793">
        <f>Z29+AA29+AB29</f>
        <v>49.599999999999994</v>
      </c>
      <c r="Z29" s="793">
        <f>SUM(Z30:Z58)</f>
        <v>0</v>
      </c>
      <c r="AA29" s="793">
        <f>SUM(AA30:AA58)</f>
        <v>0</v>
      </c>
      <c r="AB29" s="793">
        <f>SUM(AB30:AB59)</f>
        <v>49.599999999999994</v>
      </c>
      <c r="AC29" s="997">
        <f>AD29+AE29+AF29</f>
        <v>753.59</v>
      </c>
      <c r="AD29" s="202">
        <f>SUM(AD30:AD58)</f>
        <v>0</v>
      </c>
      <c r="AE29" s="202">
        <f>SUM(AE30:AE58)</f>
        <v>0</v>
      </c>
      <c r="AF29" s="202">
        <f>SUM(AF30:AF60)</f>
        <v>753.59</v>
      </c>
      <c r="AG29" s="202"/>
      <c r="AH29" s="1536">
        <f>AI29+AJ29+AK29</f>
        <v>2110.5030000000002</v>
      </c>
      <c r="AI29" s="986">
        <f>SUM(AI30:AI65)</f>
        <v>0</v>
      </c>
      <c r="AJ29" s="986">
        <f>SUM(AJ30:AJ65)</f>
        <v>0</v>
      </c>
      <c r="AK29" s="986">
        <f>SUM(AK30:AK65)</f>
        <v>2110.5030000000002</v>
      </c>
      <c r="AL29" s="998">
        <f>AM29+AN29+AO29</f>
        <v>0</v>
      </c>
      <c r="AM29" s="986">
        <f>SUM(AM30:AM58)</f>
        <v>0</v>
      </c>
      <c r="AN29" s="986">
        <f>SUM(AN30:AN58)</f>
        <v>0</v>
      </c>
      <c r="AO29" s="986">
        <f>SUM(AO30:AO58)</f>
        <v>0</v>
      </c>
      <c r="AP29" s="998">
        <f>AQ29+AR29+AS29</f>
        <v>0</v>
      </c>
      <c r="AQ29" s="202">
        <f>SUM(AQ30:AQ58)</f>
        <v>0</v>
      </c>
      <c r="AR29" s="202">
        <f>SUM(AR30:AR58)</f>
        <v>0</v>
      </c>
      <c r="AS29" s="202">
        <f>SUM(AS30:AS58)</f>
        <v>0</v>
      </c>
    </row>
    <row r="30" spans="1:45" ht="24.75" x14ac:dyDescent="0.25">
      <c r="A30" s="143"/>
      <c r="B30" s="89" t="s">
        <v>149</v>
      </c>
      <c r="C30" s="74" t="s">
        <v>81</v>
      </c>
      <c r="D30" s="24">
        <f t="shared" si="11"/>
        <v>67.8</v>
      </c>
      <c r="E30" s="24">
        <f t="shared" si="12"/>
        <v>0</v>
      </c>
      <c r="F30" s="24">
        <f t="shared" si="12"/>
        <v>67.8</v>
      </c>
      <c r="G30" s="24">
        <f t="shared" si="5"/>
        <v>0</v>
      </c>
      <c r="H30" s="24"/>
      <c r="I30" s="795"/>
      <c r="J30" s="795"/>
      <c r="K30" s="795"/>
      <c r="L30" s="792"/>
      <c r="M30" s="792">
        <f>N30+O30+P30</f>
        <v>67.8</v>
      </c>
      <c r="N30" s="792"/>
      <c r="O30" s="796">
        <v>67.8</v>
      </c>
      <c r="P30" s="762"/>
      <c r="Q30" s="794">
        <f t="shared" ref="Q30:Q52" si="15">R30+S30+T30</f>
        <v>0</v>
      </c>
      <c r="R30" s="795"/>
      <c r="S30" s="792"/>
      <c r="T30" s="792"/>
      <c r="U30" s="792">
        <f t="shared" ref="U30:U58" si="16">V30+W30+X30</f>
        <v>0</v>
      </c>
      <c r="V30" s="795"/>
      <c r="W30" s="792"/>
      <c r="X30" s="792"/>
      <c r="Y30" s="792">
        <f t="shared" ref="Y30:Y59" si="17">Z30+AA30+AB30</f>
        <v>0</v>
      </c>
      <c r="Z30" s="1199"/>
      <c r="AA30" s="860"/>
      <c r="AB30" s="860"/>
      <c r="AC30" s="625">
        <f t="shared" ref="AC30:AC66" si="18">AD30+AE30+AF30</f>
        <v>0</v>
      </c>
      <c r="AD30" s="354"/>
      <c r="AE30" s="354"/>
      <c r="AF30" s="354"/>
      <c r="AG30" s="354"/>
      <c r="AH30" s="749">
        <f t="shared" ref="AH30:AH65" si="19">AI30+AJ30+AK30</f>
        <v>0</v>
      </c>
      <c r="AI30" s="825"/>
      <c r="AJ30" s="825"/>
      <c r="AK30" s="987"/>
      <c r="AL30" s="913"/>
      <c r="AM30" s="913"/>
      <c r="AN30" s="913"/>
      <c r="AO30" s="913"/>
      <c r="AP30" s="913"/>
      <c r="AQ30" s="913"/>
      <c r="AR30" s="913"/>
      <c r="AS30" s="913"/>
    </row>
    <row r="31" spans="1:45" ht="24.75" x14ac:dyDescent="0.25">
      <c r="A31" s="143"/>
      <c r="B31" s="89" t="s">
        <v>149</v>
      </c>
      <c r="C31" s="74" t="s">
        <v>88</v>
      </c>
      <c r="D31" s="24">
        <f t="shared" si="11"/>
        <v>67.8</v>
      </c>
      <c r="E31" s="24">
        <f t="shared" ref="E31:E58" si="20">J31+N31+R31+V31+Z31+AD31+AI31</f>
        <v>0</v>
      </c>
      <c r="F31" s="24">
        <f t="shared" ref="F31:F58" si="21">K31+O31+S31+W31+AA31+AE31+AJ31</f>
        <v>67.8</v>
      </c>
      <c r="G31" s="24">
        <f t="shared" si="5"/>
        <v>0</v>
      </c>
      <c r="H31" s="24"/>
      <c r="I31" s="795"/>
      <c r="J31" s="795"/>
      <c r="K31" s="795"/>
      <c r="L31" s="792"/>
      <c r="M31" s="792">
        <f t="shared" ref="M31:M52" si="22">N31+O31+P31</f>
        <v>67.8</v>
      </c>
      <c r="N31" s="792"/>
      <c r="O31" s="796">
        <v>67.8</v>
      </c>
      <c r="P31" s="762"/>
      <c r="Q31" s="794">
        <f t="shared" si="15"/>
        <v>0</v>
      </c>
      <c r="R31" s="795"/>
      <c r="S31" s="792"/>
      <c r="T31" s="792"/>
      <c r="U31" s="792">
        <f t="shared" si="16"/>
        <v>0</v>
      </c>
      <c r="V31" s="795"/>
      <c r="W31" s="792"/>
      <c r="X31" s="792"/>
      <c r="Y31" s="792">
        <f t="shared" si="17"/>
        <v>0</v>
      </c>
      <c r="Z31" s="1199"/>
      <c r="AA31" s="860"/>
      <c r="AB31" s="860"/>
      <c r="AC31" s="625">
        <f t="shared" si="18"/>
        <v>0</v>
      </c>
      <c r="AD31" s="354"/>
      <c r="AE31" s="354"/>
      <c r="AF31" s="354"/>
      <c r="AG31" s="354"/>
      <c r="AH31" s="749">
        <f t="shared" si="19"/>
        <v>0</v>
      </c>
      <c r="AI31" s="825"/>
      <c r="AJ31" s="825"/>
      <c r="AK31" s="987"/>
      <c r="AL31" s="913"/>
      <c r="AM31" s="913"/>
      <c r="AN31" s="913"/>
      <c r="AO31" s="913"/>
      <c r="AP31" s="913"/>
      <c r="AQ31" s="913"/>
      <c r="AR31" s="913"/>
      <c r="AS31" s="913"/>
    </row>
    <row r="32" spans="1:45" ht="24.75" x14ac:dyDescent="0.25">
      <c r="A32" s="143"/>
      <c r="B32" s="89" t="s">
        <v>149</v>
      </c>
      <c r="C32" s="74" t="s">
        <v>24</v>
      </c>
      <c r="D32" s="24">
        <f t="shared" si="11"/>
        <v>67.819000000000003</v>
      </c>
      <c r="E32" s="24">
        <f t="shared" si="20"/>
        <v>0</v>
      </c>
      <c r="F32" s="24">
        <f t="shared" si="21"/>
        <v>67.819000000000003</v>
      </c>
      <c r="G32" s="24">
        <f t="shared" si="5"/>
        <v>0</v>
      </c>
      <c r="H32" s="24"/>
      <c r="I32" s="795"/>
      <c r="J32" s="795"/>
      <c r="K32" s="795"/>
      <c r="L32" s="792"/>
      <c r="M32" s="792">
        <f t="shared" si="22"/>
        <v>67.819000000000003</v>
      </c>
      <c r="N32" s="792"/>
      <c r="O32" s="796">
        <v>67.819000000000003</v>
      </c>
      <c r="P32" s="762"/>
      <c r="Q32" s="794">
        <f t="shared" si="15"/>
        <v>0</v>
      </c>
      <c r="R32" s="795"/>
      <c r="S32" s="792"/>
      <c r="T32" s="792"/>
      <c r="U32" s="792">
        <f t="shared" si="16"/>
        <v>0</v>
      </c>
      <c r="V32" s="795"/>
      <c r="W32" s="792"/>
      <c r="X32" s="792"/>
      <c r="Y32" s="792">
        <f t="shared" si="17"/>
        <v>0</v>
      </c>
      <c r="Z32" s="1199"/>
      <c r="AA32" s="860"/>
      <c r="AB32" s="860"/>
      <c r="AC32" s="625">
        <f t="shared" si="18"/>
        <v>0</v>
      </c>
      <c r="AD32" s="354"/>
      <c r="AE32" s="354"/>
      <c r="AF32" s="354"/>
      <c r="AG32" s="354"/>
      <c r="AH32" s="749">
        <f t="shared" si="19"/>
        <v>0</v>
      </c>
      <c r="AI32" s="825"/>
      <c r="AJ32" s="825"/>
      <c r="AK32" s="987"/>
      <c r="AL32" s="913"/>
      <c r="AM32" s="913"/>
      <c r="AN32" s="913"/>
      <c r="AO32" s="913"/>
      <c r="AP32" s="913"/>
      <c r="AQ32" s="913"/>
      <c r="AR32" s="913"/>
      <c r="AS32" s="913"/>
    </row>
    <row r="33" spans="1:45" ht="15" x14ac:dyDescent="0.25">
      <c r="A33" s="143"/>
      <c r="B33" s="74" t="s">
        <v>118</v>
      </c>
      <c r="C33" s="74" t="s">
        <v>28</v>
      </c>
      <c r="D33" s="24">
        <f t="shared" si="11"/>
        <v>489.12400000000002</v>
      </c>
      <c r="E33" s="24">
        <f t="shared" si="20"/>
        <v>0</v>
      </c>
      <c r="F33" s="24">
        <f t="shared" si="21"/>
        <v>489.12400000000002</v>
      </c>
      <c r="G33" s="24">
        <f t="shared" si="5"/>
        <v>0</v>
      </c>
      <c r="H33" s="24"/>
      <c r="I33" s="795"/>
      <c r="J33" s="795"/>
      <c r="K33" s="795"/>
      <c r="L33" s="792"/>
      <c r="M33" s="792">
        <f t="shared" si="22"/>
        <v>489.12400000000002</v>
      </c>
      <c r="N33" s="792"/>
      <c r="O33" s="792">
        <v>489.12400000000002</v>
      </c>
      <c r="P33" s="760"/>
      <c r="Q33" s="794">
        <f t="shared" si="15"/>
        <v>0</v>
      </c>
      <c r="R33" s="795"/>
      <c r="S33" s="792"/>
      <c r="T33" s="792"/>
      <c r="U33" s="792">
        <f t="shared" si="16"/>
        <v>0</v>
      </c>
      <c r="V33" s="795"/>
      <c r="W33" s="792"/>
      <c r="X33" s="792"/>
      <c r="Y33" s="792">
        <f t="shared" si="17"/>
        <v>0</v>
      </c>
      <c r="Z33" s="1199"/>
      <c r="AA33" s="860"/>
      <c r="AB33" s="860"/>
      <c r="AC33" s="625">
        <f t="shared" si="18"/>
        <v>0</v>
      </c>
      <c r="AD33" s="354"/>
      <c r="AE33" s="354"/>
      <c r="AF33" s="354"/>
      <c r="AG33" s="354"/>
      <c r="AH33" s="749">
        <f t="shared" si="19"/>
        <v>0</v>
      </c>
      <c r="AI33" s="825"/>
      <c r="AJ33" s="825"/>
      <c r="AK33" s="987"/>
      <c r="AL33" s="913"/>
      <c r="AM33" s="913"/>
      <c r="AN33" s="913"/>
      <c r="AO33" s="913"/>
      <c r="AP33" s="913"/>
      <c r="AQ33" s="913"/>
      <c r="AR33" s="913"/>
      <c r="AS33" s="913"/>
    </row>
    <row r="34" spans="1:45" ht="24.75" x14ac:dyDescent="0.25">
      <c r="A34" s="143"/>
      <c r="B34" s="74" t="s">
        <v>151</v>
      </c>
      <c r="C34" s="74" t="s">
        <v>37</v>
      </c>
      <c r="D34" s="24">
        <f t="shared" si="11"/>
        <v>83</v>
      </c>
      <c r="E34" s="24">
        <f t="shared" si="20"/>
        <v>0</v>
      </c>
      <c r="F34" s="24">
        <f t="shared" si="21"/>
        <v>83</v>
      </c>
      <c r="G34" s="24">
        <f t="shared" si="5"/>
        <v>0</v>
      </c>
      <c r="H34" s="24"/>
      <c r="I34" s="795"/>
      <c r="J34" s="795"/>
      <c r="K34" s="795"/>
      <c r="L34" s="792"/>
      <c r="M34" s="792">
        <f t="shared" si="22"/>
        <v>83</v>
      </c>
      <c r="N34" s="792"/>
      <c r="O34" s="792">
        <v>83</v>
      </c>
      <c r="P34" s="760"/>
      <c r="Q34" s="794">
        <f t="shared" si="15"/>
        <v>0</v>
      </c>
      <c r="R34" s="795"/>
      <c r="S34" s="792"/>
      <c r="T34" s="792"/>
      <c r="U34" s="792">
        <f t="shared" si="16"/>
        <v>0</v>
      </c>
      <c r="V34" s="795"/>
      <c r="W34" s="792"/>
      <c r="X34" s="792"/>
      <c r="Y34" s="792">
        <f t="shared" si="17"/>
        <v>0</v>
      </c>
      <c r="Z34" s="1199"/>
      <c r="AA34" s="860"/>
      <c r="AB34" s="860"/>
      <c r="AC34" s="625">
        <f t="shared" si="18"/>
        <v>0</v>
      </c>
      <c r="AD34" s="354"/>
      <c r="AE34" s="354"/>
      <c r="AF34" s="354"/>
      <c r="AG34" s="354"/>
      <c r="AH34" s="749">
        <f t="shared" si="19"/>
        <v>0</v>
      </c>
      <c r="AI34" s="825"/>
      <c r="AJ34" s="825"/>
      <c r="AK34" s="987"/>
      <c r="AL34" s="913"/>
      <c r="AM34" s="913"/>
      <c r="AN34" s="913"/>
      <c r="AO34" s="913"/>
      <c r="AP34" s="913"/>
      <c r="AQ34" s="913"/>
      <c r="AR34" s="913"/>
      <c r="AS34" s="913"/>
    </row>
    <row r="35" spans="1:45" ht="25.5" customHeight="1" x14ac:dyDescent="0.25">
      <c r="A35" s="232"/>
      <c r="B35" s="102" t="s">
        <v>153</v>
      </c>
      <c r="C35" s="102" t="s">
        <v>32</v>
      </c>
      <c r="D35" s="24">
        <f t="shared" si="11"/>
        <v>97.988</v>
      </c>
      <c r="E35" s="24">
        <f t="shared" si="20"/>
        <v>0</v>
      </c>
      <c r="F35" s="24">
        <f t="shared" si="21"/>
        <v>97.988</v>
      </c>
      <c r="G35" s="24">
        <f t="shared" si="5"/>
        <v>0</v>
      </c>
      <c r="H35" s="24"/>
      <c r="I35" s="797"/>
      <c r="J35" s="797"/>
      <c r="K35" s="797"/>
      <c r="L35" s="791"/>
      <c r="M35" s="791">
        <f t="shared" si="22"/>
        <v>97.988</v>
      </c>
      <c r="N35" s="791"/>
      <c r="O35" s="798">
        <f>98-0.012</f>
        <v>97.988</v>
      </c>
      <c r="P35" s="764"/>
      <c r="Q35" s="791">
        <f t="shared" si="15"/>
        <v>0</v>
      </c>
      <c r="R35" s="797"/>
      <c r="S35" s="791"/>
      <c r="T35" s="791"/>
      <c r="U35" s="792">
        <f t="shared" si="16"/>
        <v>0</v>
      </c>
      <c r="V35" s="795"/>
      <c r="W35" s="792"/>
      <c r="X35" s="792"/>
      <c r="Y35" s="792">
        <f t="shared" si="17"/>
        <v>0</v>
      </c>
      <c r="Z35" s="1199"/>
      <c r="AA35" s="860"/>
      <c r="AB35" s="860"/>
      <c r="AC35" s="625">
        <f t="shared" si="18"/>
        <v>0</v>
      </c>
      <c r="AD35" s="354"/>
      <c r="AE35" s="354"/>
      <c r="AF35" s="354"/>
      <c r="AG35" s="354"/>
      <c r="AH35" s="749">
        <f t="shared" si="19"/>
        <v>0</v>
      </c>
      <c r="AI35" s="825"/>
      <c r="AJ35" s="825"/>
      <c r="AK35" s="987"/>
      <c r="AL35" s="913"/>
      <c r="AM35" s="913"/>
      <c r="AN35" s="913"/>
      <c r="AO35" s="913"/>
      <c r="AP35" s="913"/>
      <c r="AQ35" s="913"/>
      <c r="AR35" s="913"/>
      <c r="AS35" s="913"/>
    </row>
    <row r="36" spans="1:45" ht="24.75" x14ac:dyDescent="0.25">
      <c r="A36" s="232"/>
      <c r="B36" s="102" t="s">
        <v>142</v>
      </c>
      <c r="C36" s="102" t="s">
        <v>32</v>
      </c>
      <c r="D36" s="24">
        <f t="shared" si="11"/>
        <v>12.95</v>
      </c>
      <c r="E36" s="24">
        <f t="shared" si="20"/>
        <v>0</v>
      </c>
      <c r="F36" s="24">
        <f t="shared" si="21"/>
        <v>0</v>
      </c>
      <c r="G36" s="24">
        <f t="shared" si="5"/>
        <v>12.95</v>
      </c>
      <c r="H36" s="24"/>
      <c r="I36" s="797"/>
      <c r="J36" s="797"/>
      <c r="K36" s="797"/>
      <c r="L36" s="791"/>
      <c r="M36" s="791">
        <f t="shared" si="22"/>
        <v>12.95</v>
      </c>
      <c r="N36" s="791"/>
      <c r="O36" s="764"/>
      <c r="P36" s="798">
        <v>12.95</v>
      </c>
      <c r="Q36" s="791">
        <f t="shared" si="15"/>
        <v>0</v>
      </c>
      <c r="R36" s="797"/>
      <c r="S36" s="791"/>
      <c r="T36" s="791"/>
      <c r="U36" s="792">
        <f t="shared" si="16"/>
        <v>0</v>
      </c>
      <c r="V36" s="795"/>
      <c r="W36" s="792"/>
      <c r="X36" s="792"/>
      <c r="Y36" s="792">
        <f t="shared" si="17"/>
        <v>0</v>
      </c>
      <c r="Z36" s="1199"/>
      <c r="AA36" s="860"/>
      <c r="AB36" s="860"/>
      <c r="AC36" s="625">
        <f t="shared" si="18"/>
        <v>0</v>
      </c>
      <c r="AD36" s="354"/>
      <c r="AE36" s="354"/>
      <c r="AF36" s="354"/>
      <c r="AG36" s="354"/>
      <c r="AH36" s="749">
        <f t="shared" si="19"/>
        <v>0</v>
      </c>
      <c r="AI36" s="825"/>
      <c r="AJ36" s="825"/>
      <c r="AK36" s="987"/>
      <c r="AL36" s="913"/>
      <c r="AM36" s="913"/>
      <c r="AN36" s="913"/>
      <c r="AO36" s="913"/>
      <c r="AP36" s="913"/>
      <c r="AQ36" s="913"/>
      <c r="AR36" s="913"/>
      <c r="AS36" s="913"/>
    </row>
    <row r="37" spans="1:45" ht="36.75" x14ac:dyDescent="0.25">
      <c r="A37" s="232"/>
      <c r="B37" s="102" t="s">
        <v>608</v>
      </c>
      <c r="C37" s="102" t="s">
        <v>609</v>
      </c>
      <c r="D37" s="24">
        <f t="shared" si="11"/>
        <v>1140.03</v>
      </c>
      <c r="E37" s="24">
        <f t="shared" si="20"/>
        <v>0</v>
      </c>
      <c r="F37" s="24">
        <f t="shared" si="21"/>
        <v>130.32</v>
      </c>
      <c r="G37" s="24">
        <f t="shared" si="5"/>
        <v>1009.71</v>
      </c>
      <c r="H37" s="24"/>
      <c r="I37" s="791"/>
      <c r="J37" s="791"/>
      <c r="K37" s="791"/>
      <c r="L37" s="791"/>
      <c r="M37" s="791">
        <f t="shared" si="22"/>
        <v>840.03</v>
      </c>
      <c r="N37" s="791"/>
      <c r="O37" s="798">
        <v>130.32</v>
      </c>
      <c r="P37" s="798">
        <v>709.71</v>
      </c>
      <c r="Q37" s="791">
        <f t="shared" si="15"/>
        <v>0</v>
      </c>
      <c r="R37" s="797"/>
      <c r="S37" s="791"/>
      <c r="T37" s="791"/>
      <c r="U37" s="792">
        <f t="shared" si="16"/>
        <v>300</v>
      </c>
      <c r="V37" s="795"/>
      <c r="W37" s="792"/>
      <c r="X37" s="792">
        <v>300</v>
      </c>
      <c r="Y37" s="792">
        <f t="shared" si="17"/>
        <v>0</v>
      </c>
      <c r="Z37" s="1199"/>
      <c r="AA37" s="860"/>
      <c r="AB37" s="860"/>
      <c r="AC37" s="625">
        <f t="shared" si="18"/>
        <v>0</v>
      </c>
      <c r="AD37" s="354"/>
      <c r="AE37" s="354"/>
      <c r="AF37" s="354"/>
      <c r="AG37" s="354"/>
      <c r="AH37" s="749">
        <f t="shared" si="19"/>
        <v>0</v>
      </c>
      <c r="AI37" s="825"/>
      <c r="AJ37" s="825"/>
      <c r="AK37" s="987"/>
      <c r="AL37" s="913"/>
      <c r="AM37" s="913"/>
      <c r="AN37" s="913"/>
      <c r="AO37" s="913"/>
      <c r="AP37" s="913"/>
      <c r="AQ37" s="913"/>
      <c r="AR37" s="913"/>
      <c r="AS37" s="913"/>
    </row>
    <row r="38" spans="1:45" ht="15" x14ac:dyDescent="0.25">
      <c r="A38" s="232"/>
      <c r="B38" s="102" t="s">
        <v>122</v>
      </c>
      <c r="C38" s="102" t="s">
        <v>77</v>
      </c>
      <c r="D38" s="24">
        <f t="shared" si="11"/>
        <v>33</v>
      </c>
      <c r="E38" s="24">
        <f t="shared" si="20"/>
        <v>0</v>
      </c>
      <c r="F38" s="24">
        <f t="shared" si="21"/>
        <v>0</v>
      </c>
      <c r="G38" s="24">
        <f t="shared" si="5"/>
        <v>33</v>
      </c>
      <c r="H38" s="24"/>
      <c r="I38" s="791"/>
      <c r="J38" s="791"/>
      <c r="K38" s="791"/>
      <c r="L38" s="791"/>
      <c r="M38" s="791">
        <f t="shared" si="22"/>
        <v>33</v>
      </c>
      <c r="N38" s="791"/>
      <c r="O38" s="798"/>
      <c r="P38" s="798">
        <v>33</v>
      </c>
      <c r="Q38" s="791">
        <f t="shared" si="15"/>
        <v>0</v>
      </c>
      <c r="R38" s="797"/>
      <c r="S38" s="791"/>
      <c r="T38" s="791"/>
      <c r="U38" s="792">
        <f t="shared" si="16"/>
        <v>0</v>
      </c>
      <c r="V38" s="795"/>
      <c r="W38" s="792"/>
      <c r="X38" s="792"/>
      <c r="Y38" s="792">
        <f t="shared" si="17"/>
        <v>0</v>
      </c>
      <c r="Z38" s="1199"/>
      <c r="AA38" s="860"/>
      <c r="AB38" s="860"/>
      <c r="AC38" s="625">
        <f t="shared" si="18"/>
        <v>0</v>
      </c>
      <c r="AD38" s="354"/>
      <c r="AE38" s="354"/>
      <c r="AF38" s="354"/>
      <c r="AG38" s="354"/>
      <c r="AH38" s="749">
        <f t="shared" si="19"/>
        <v>0</v>
      </c>
      <c r="AI38" s="825"/>
      <c r="AJ38" s="825"/>
      <c r="AK38" s="987"/>
      <c r="AL38" s="913"/>
      <c r="AM38" s="913"/>
      <c r="AN38" s="913"/>
      <c r="AO38" s="913"/>
      <c r="AP38" s="913"/>
      <c r="AQ38" s="913"/>
      <c r="AR38" s="913"/>
      <c r="AS38" s="913"/>
    </row>
    <row r="39" spans="1:45" ht="15" x14ac:dyDescent="0.25">
      <c r="A39" s="232"/>
      <c r="B39" s="102" t="s">
        <v>69</v>
      </c>
      <c r="C39" s="102" t="s">
        <v>30</v>
      </c>
      <c r="D39" s="24">
        <f t="shared" si="11"/>
        <v>42.3</v>
      </c>
      <c r="E39" s="24">
        <f t="shared" si="20"/>
        <v>0</v>
      </c>
      <c r="F39" s="24">
        <f t="shared" si="21"/>
        <v>0</v>
      </c>
      <c r="G39" s="24">
        <f t="shared" si="5"/>
        <v>42.3</v>
      </c>
      <c r="H39" s="24"/>
      <c r="I39" s="791">
        <f>J39+K39+L39</f>
        <v>42.3</v>
      </c>
      <c r="J39" s="791"/>
      <c r="K39" s="791"/>
      <c r="L39" s="791">
        <v>42.3</v>
      </c>
      <c r="M39" s="791">
        <f t="shared" si="22"/>
        <v>0</v>
      </c>
      <c r="N39" s="791"/>
      <c r="O39" s="764"/>
      <c r="P39" s="764"/>
      <c r="Q39" s="791">
        <f t="shared" si="15"/>
        <v>0</v>
      </c>
      <c r="R39" s="797"/>
      <c r="S39" s="791"/>
      <c r="T39" s="791"/>
      <c r="U39" s="792">
        <f t="shared" si="16"/>
        <v>0</v>
      </c>
      <c r="V39" s="795"/>
      <c r="W39" s="792"/>
      <c r="X39" s="792"/>
      <c r="Y39" s="792">
        <f t="shared" si="17"/>
        <v>0</v>
      </c>
      <c r="Z39" s="1199"/>
      <c r="AA39" s="860"/>
      <c r="AB39" s="860"/>
      <c r="AC39" s="625">
        <f t="shared" si="18"/>
        <v>0</v>
      </c>
      <c r="AD39" s="354"/>
      <c r="AE39" s="354"/>
      <c r="AF39" s="354"/>
      <c r="AG39" s="354"/>
      <c r="AH39" s="749">
        <f t="shared" si="19"/>
        <v>0</v>
      </c>
      <c r="AI39" s="825"/>
      <c r="AJ39" s="825"/>
      <c r="AK39" s="987"/>
      <c r="AL39" s="913"/>
      <c r="AM39" s="913"/>
      <c r="AN39" s="913"/>
      <c r="AO39" s="913"/>
      <c r="AP39" s="913"/>
      <c r="AQ39" s="913"/>
      <c r="AR39" s="913"/>
      <c r="AS39" s="913"/>
    </row>
    <row r="40" spans="1:45" ht="24.75" x14ac:dyDescent="0.25">
      <c r="A40" s="232"/>
      <c r="B40" s="102" t="s">
        <v>142</v>
      </c>
      <c r="C40" s="102" t="s">
        <v>653</v>
      </c>
      <c r="D40" s="24">
        <f t="shared" si="11"/>
        <v>26</v>
      </c>
      <c r="E40" s="24">
        <f t="shared" si="20"/>
        <v>0</v>
      </c>
      <c r="F40" s="24">
        <f t="shared" si="21"/>
        <v>0</v>
      </c>
      <c r="G40" s="24">
        <f t="shared" si="5"/>
        <v>26</v>
      </c>
      <c r="H40" s="24"/>
      <c r="I40" s="791">
        <f>J40+K40+L40</f>
        <v>0</v>
      </c>
      <c r="J40" s="797"/>
      <c r="K40" s="791"/>
      <c r="L40" s="791"/>
      <c r="M40" s="791">
        <f t="shared" si="22"/>
        <v>16</v>
      </c>
      <c r="N40" s="791"/>
      <c r="O40" s="764"/>
      <c r="P40" s="798">
        <v>16</v>
      </c>
      <c r="Q40" s="791">
        <f t="shared" si="15"/>
        <v>0</v>
      </c>
      <c r="R40" s="797"/>
      <c r="S40" s="791"/>
      <c r="T40" s="791"/>
      <c r="U40" s="792">
        <f t="shared" si="16"/>
        <v>0</v>
      </c>
      <c r="V40" s="795"/>
      <c r="W40" s="792"/>
      <c r="X40" s="792"/>
      <c r="Y40" s="792">
        <f t="shared" si="17"/>
        <v>10</v>
      </c>
      <c r="Z40" s="1199"/>
      <c r="AA40" s="860"/>
      <c r="AB40" s="1160">
        <v>10</v>
      </c>
      <c r="AC40" s="625">
        <f t="shared" si="18"/>
        <v>0</v>
      </c>
      <c r="AD40" s="354"/>
      <c r="AE40" s="354"/>
      <c r="AF40" s="354"/>
      <c r="AG40" s="354"/>
      <c r="AH40" s="749">
        <f t="shared" si="19"/>
        <v>0</v>
      </c>
      <c r="AI40" s="825"/>
      <c r="AJ40" s="825"/>
      <c r="AK40" s="987"/>
      <c r="AL40" s="913"/>
      <c r="AM40" s="913"/>
      <c r="AN40" s="913"/>
      <c r="AO40" s="913"/>
      <c r="AP40" s="913"/>
      <c r="AQ40" s="913"/>
      <c r="AR40" s="913"/>
      <c r="AS40" s="913"/>
    </row>
    <row r="41" spans="1:45" ht="24.75" x14ac:dyDescent="0.25">
      <c r="A41" s="232"/>
      <c r="B41" s="102" t="s">
        <v>23</v>
      </c>
      <c r="C41" s="102" t="s">
        <v>25</v>
      </c>
      <c r="D41" s="24">
        <f t="shared" si="11"/>
        <v>95</v>
      </c>
      <c r="E41" s="24">
        <f t="shared" si="20"/>
        <v>0</v>
      </c>
      <c r="F41" s="24">
        <f t="shared" si="21"/>
        <v>0</v>
      </c>
      <c r="G41" s="24">
        <f t="shared" ref="G41:G60" si="23">L41+P41+T41+X41+AB41+AF41+AK41+AO41+AS41</f>
        <v>95</v>
      </c>
      <c r="H41" s="24"/>
      <c r="I41" s="791">
        <f>J41+K41+L41</f>
        <v>95</v>
      </c>
      <c r="J41" s="791"/>
      <c r="K41" s="791"/>
      <c r="L41" s="791">
        <v>95</v>
      </c>
      <c r="M41" s="791">
        <f t="shared" si="22"/>
        <v>0</v>
      </c>
      <c r="N41" s="791"/>
      <c r="O41" s="764"/>
      <c r="P41" s="798"/>
      <c r="Q41" s="791">
        <f t="shared" si="15"/>
        <v>0</v>
      </c>
      <c r="R41" s="797"/>
      <c r="S41" s="791"/>
      <c r="T41" s="791"/>
      <c r="U41" s="792">
        <f t="shared" si="16"/>
        <v>0</v>
      </c>
      <c r="V41" s="795"/>
      <c r="W41" s="792"/>
      <c r="X41" s="792"/>
      <c r="Y41" s="792">
        <f t="shared" si="17"/>
        <v>0</v>
      </c>
      <c r="Z41" s="1200"/>
      <c r="AA41" s="860"/>
      <c r="AB41" s="860"/>
      <c r="AC41" s="625">
        <f t="shared" si="18"/>
        <v>0</v>
      </c>
      <c r="AD41" s="354"/>
      <c r="AE41" s="354"/>
      <c r="AF41" s="354"/>
      <c r="AG41" s="354"/>
      <c r="AH41" s="749">
        <f t="shared" si="19"/>
        <v>0</v>
      </c>
      <c r="AI41" s="825"/>
      <c r="AJ41" s="825"/>
      <c r="AK41" s="987"/>
      <c r="AL41" s="913"/>
      <c r="AM41" s="913"/>
      <c r="AN41" s="913"/>
      <c r="AO41" s="913"/>
      <c r="AP41" s="913"/>
      <c r="AQ41" s="913"/>
      <c r="AR41" s="913"/>
      <c r="AS41" s="913"/>
    </row>
    <row r="42" spans="1:45" ht="24.75" x14ac:dyDescent="0.25">
      <c r="A42" s="232"/>
      <c r="B42" s="102" t="s">
        <v>163</v>
      </c>
      <c r="C42" s="102" t="s">
        <v>654</v>
      </c>
      <c r="D42" s="24">
        <f t="shared" si="11"/>
        <v>44.82</v>
      </c>
      <c r="E42" s="24">
        <f t="shared" si="20"/>
        <v>0</v>
      </c>
      <c r="F42" s="24">
        <f t="shared" si="21"/>
        <v>0</v>
      </c>
      <c r="G42" s="24">
        <f t="shared" si="23"/>
        <v>44.82</v>
      </c>
      <c r="H42" s="24"/>
      <c r="I42" s="791"/>
      <c r="J42" s="791"/>
      <c r="K42" s="791"/>
      <c r="L42" s="791"/>
      <c r="M42" s="791">
        <f t="shared" si="22"/>
        <v>38.82</v>
      </c>
      <c r="N42" s="791"/>
      <c r="O42" s="764"/>
      <c r="P42" s="798">
        <v>38.82</v>
      </c>
      <c r="Q42" s="791">
        <f t="shared" si="15"/>
        <v>0</v>
      </c>
      <c r="R42" s="797"/>
      <c r="S42" s="791"/>
      <c r="T42" s="791"/>
      <c r="U42" s="792">
        <f t="shared" si="16"/>
        <v>0</v>
      </c>
      <c r="V42" s="795"/>
      <c r="W42" s="792"/>
      <c r="X42" s="792"/>
      <c r="Y42" s="792">
        <f t="shared" si="17"/>
        <v>6</v>
      </c>
      <c r="Z42" s="1199"/>
      <c r="AA42" s="1199"/>
      <c r="AB42" s="1201">
        <v>6</v>
      </c>
      <c r="AC42" s="830">
        <f t="shared" si="18"/>
        <v>0</v>
      </c>
      <c r="AD42" s="831"/>
      <c r="AE42" s="831"/>
      <c r="AF42" s="831"/>
      <c r="AG42" s="831"/>
      <c r="AH42" s="749">
        <f t="shared" si="19"/>
        <v>0</v>
      </c>
      <c r="AI42" s="832"/>
      <c r="AJ42" s="825"/>
      <c r="AK42" s="987"/>
      <c r="AL42" s="913"/>
      <c r="AM42" s="913"/>
      <c r="AN42" s="913"/>
      <c r="AO42" s="913"/>
      <c r="AP42" s="913"/>
      <c r="AQ42" s="913"/>
      <c r="AR42" s="913"/>
      <c r="AS42" s="913"/>
    </row>
    <row r="43" spans="1:45" ht="23.25" customHeight="1" x14ac:dyDescent="0.25">
      <c r="A43" s="232"/>
      <c r="B43" s="102" t="s">
        <v>170</v>
      </c>
      <c r="C43" s="102" t="s">
        <v>34</v>
      </c>
      <c r="D43" s="24">
        <f t="shared" si="11"/>
        <v>16</v>
      </c>
      <c r="E43" s="24">
        <f t="shared" si="20"/>
        <v>0</v>
      </c>
      <c r="F43" s="24">
        <f t="shared" si="21"/>
        <v>0</v>
      </c>
      <c r="G43" s="24">
        <f t="shared" si="23"/>
        <v>16</v>
      </c>
      <c r="H43" s="24"/>
      <c r="I43" s="791"/>
      <c r="J43" s="791"/>
      <c r="K43" s="791"/>
      <c r="L43" s="791"/>
      <c r="M43" s="791">
        <f t="shared" si="22"/>
        <v>16</v>
      </c>
      <c r="N43" s="791"/>
      <c r="O43" s="764"/>
      <c r="P43" s="798">
        <v>16</v>
      </c>
      <c r="Q43" s="791">
        <f t="shared" si="15"/>
        <v>0</v>
      </c>
      <c r="R43" s="797"/>
      <c r="S43" s="791"/>
      <c r="T43" s="791"/>
      <c r="U43" s="792">
        <f t="shared" si="16"/>
        <v>0</v>
      </c>
      <c r="V43" s="795"/>
      <c r="W43" s="792"/>
      <c r="X43" s="792"/>
      <c r="Y43" s="792">
        <f t="shared" si="17"/>
        <v>0</v>
      </c>
      <c r="Z43" s="1199"/>
      <c r="AA43" s="1199"/>
      <c r="AB43" s="1199"/>
      <c r="AC43" s="830">
        <f t="shared" si="18"/>
        <v>0</v>
      </c>
      <c r="AD43" s="831"/>
      <c r="AE43" s="831"/>
      <c r="AF43" s="831"/>
      <c r="AG43" s="831"/>
      <c r="AH43" s="749">
        <f t="shared" si="19"/>
        <v>0</v>
      </c>
      <c r="AI43" s="832"/>
      <c r="AJ43" s="825"/>
      <c r="AK43" s="987"/>
      <c r="AL43" s="913"/>
      <c r="AM43" s="913"/>
      <c r="AN43" s="913"/>
      <c r="AO43" s="913"/>
      <c r="AP43" s="913"/>
      <c r="AQ43" s="913"/>
      <c r="AR43" s="913"/>
      <c r="AS43" s="913"/>
    </row>
    <row r="44" spans="1:45" ht="24.75" x14ac:dyDescent="0.25">
      <c r="A44" s="232"/>
      <c r="B44" s="102" t="s">
        <v>152</v>
      </c>
      <c r="C44" s="102" t="s">
        <v>34</v>
      </c>
      <c r="D44" s="24">
        <f t="shared" si="11"/>
        <v>92</v>
      </c>
      <c r="E44" s="24">
        <f t="shared" si="20"/>
        <v>0</v>
      </c>
      <c r="F44" s="24">
        <f t="shared" si="21"/>
        <v>0</v>
      </c>
      <c r="G44" s="24">
        <f t="shared" si="23"/>
        <v>92</v>
      </c>
      <c r="H44" s="24"/>
      <c r="I44" s="791"/>
      <c r="J44" s="791"/>
      <c r="K44" s="791"/>
      <c r="L44" s="791"/>
      <c r="M44" s="791">
        <f t="shared" si="22"/>
        <v>92</v>
      </c>
      <c r="N44" s="791"/>
      <c r="O44" s="757"/>
      <c r="P44" s="791">
        <v>92</v>
      </c>
      <c r="Q44" s="791">
        <f t="shared" si="15"/>
        <v>0</v>
      </c>
      <c r="R44" s="797"/>
      <c r="S44" s="791"/>
      <c r="T44" s="791"/>
      <c r="U44" s="792">
        <f t="shared" si="16"/>
        <v>0</v>
      </c>
      <c r="V44" s="795"/>
      <c r="W44" s="792"/>
      <c r="X44" s="792"/>
      <c r="Y44" s="792">
        <f t="shared" si="17"/>
        <v>0</v>
      </c>
      <c r="Z44" s="1199"/>
      <c r="AA44" s="1199"/>
      <c r="AB44" s="1199"/>
      <c r="AC44" s="830">
        <f t="shared" si="18"/>
        <v>0</v>
      </c>
      <c r="AD44" s="831"/>
      <c r="AE44" s="831"/>
      <c r="AF44" s="831"/>
      <c r="AG44" s="831"/>
      <c r="AH44" s="749">
        <f t="shared" si="19"/>
        <v>0</v>
      </c>
      <c r="AI44" s="832"/>
      <c r="AJ44" s="825"/>
      <c r="AK44" s="987"/>
      <c r="AL44" s="913"/>
      <c r="AM44" s="913"/>
      <c r="AN44" s="913"/>
      <c r="AO44" s="913"/>
      <c r="AP44" s="913"/>
      <c r="AQ44" s="913"/>
      <c r="AR44" s="913"/>
      <c r="AS44" s="913"/>
    </row>
    <row r="45" spans="1:45" ht="36.75" x14ac:dyDescent="0.25">
      <c r="A45" s="232"/>
      <c r="B45" s="102" t="s">
        <v>155</v>
      </c>
      <c r="C45" s="102" t="s">
        <v>93</v>
      </c>
      <c r="D45" s="24">
        <f t="shared" si="11"/>
        <v>78</v>
      </c>
      <c r="E45" s="24">
        <f t="shared" si="20"/>
        <v>0</v>
      </c>
      <c r="F45" s="24">
        <f t="shared" si="21"/>
        <v>0</v>
      </c>
      <c r="G45" s="24">
        <f t="shared" si="23"/>
        <v>78</v>
      </c>
      <c r="H45" s="24"/>
      <c r="I45" s="791"/>
      <c r="J45" s="791"/>
      <c r="K45" s="791"/>
      <c r="L45" s="791"/>
      <c r="M45" s="791">
        <f t="shared" si="22"/>
        <v>78</v>
      </c>
      <c r="N45" s="791"/>
      <c r="O45" s="757"/>
      <c r="P45" s="791">
        <v>78</v>
      </c>
      <c r="Q45" s="791">
        <f t="shared" si="15"/>
        <v>0</v>
      </c>
      <c r="R45" s="797"/>
      <c r="S45" s="791"/>
      <c r="T45" s="791"/>
      <c r="U45" s="792">
        <f t="shared" si="16"/>
        <v>0</v>
      </c>
      <c r="V45" s="795"/>
      <c r="W45" s="792"/>
      <c r="X45" s="792"/>
      <c r="Y45" s="792">
        <f t="shared" si="17"/>
        <v>0</v>
      </c>
      <c r="Z45" s="1199"/>
      <c r="AA45" s="1199"/>
      <c r="AB45" s="1199"/>
      <c r="AC45" s="830">
        <f t="shared" si="18"/>
        <v>0</v>
      </c>
      <c r="AD45" s="831"/>
      <c r="AE45" s="831"/>
      <c r="AF45" s="831"/>
      <c r="AG45" s="831"/>
      <c r="AH45" s="749">
        <f t="shared" si="19"/>
        <v>0</v>
      </c>
      <c r="AI45" s="832"/>
      <c r="AJ45" s="825"/>
      <c r="AK45" s="987"/>
      <c r="AL45" s="913"/>
      <c r="AM45" s="913"/>
      <c r="AN45" s="913"/>
      <c r="AO45" s="913"/>
      <c r="AP45" s="913"/>
      <c r="AQ45" s="913"/>
      <c r="AR45" s="913"/>
      <c r="AS45" s="913"/>
    </row>
    <row r="46" spans="1:45" ht="24.75" x14ac:dyDescent="0.25">
      <c r="A46" s="232"/>
      <c r="B46" s="102" t="s">
        <v>160</v>
      </c>
      <c r="C46" s="102" t="s">
        <v>93</v>
      </c>
      <c r="D46" s="24">
        <f t="shared" si="11"/>
        <v>772.37</v>
      </c>
      <c r="E46" s="24">
        <f t="shared" si="20"/>
        <v>0</v>
      </c>
      <c r="F46" s="24">
        <f t="shared" si="21"/>
        <v>0</v>
      </c>
      <c r="G46" s="24">
        <f t="shared" si="23"/>
        <v>772.37</v>
      </c>
      <c r="H46" s="24"/>
      <c r="I46" s="791"/>
      <c r="J46" s="791"/>
      <c r="K46" s="791"/>
      <c r="L46" s="791"/>
      <c r="M46" s="791">
        <f t="shared" si="22"/>
        <v>772.37</v>
      </c>
      <c r="N46" s="791"/>
      <c r="O46" s="764"/>
      <c r="P46" s="798">
        <v>772.37</v>
      </c>
      <c r="Q46" s="791">
        <f t="shared" si="15"/>
        <v>0</v>
      </c>
      <c r="R46" s="797"/>
      <c r="S46" s="791"/>
      <c r="T46" s="791"/>
      <c r="U46" s="792">
        <f t="shared" si="16"/>
        <v>0</v>
      </c>
      <c r="V46" s="795"/>
      <c r="W46" s="792"/>
      <c r="X46" s="792"/>
      <c r="Y46" s="792">
        <f t="shared" si="17"/>
        <v>0</v>
      </c>
      <c r="Z46" s="1199"/>
      <c r="AA46" s="1199"/>
      <c r="AB46" s="1199"/>
      <c r="AC46" s="830">
        <f t="shared" si="18"/>
        <v>0</v>
      </c>
      <c r="AD46" s="831"/>
      <c r="AE46" s="831"/>
      <c r="AF46" s="831"/>
      <c r="AG46" s="831"/>
      <c r="AH46" s="749">
        <f t="shared" si="19"/>
        <v>0</v>
      </c>
      <c r="AI46" s="832"/>
      <c r="AJ46" s="825"/>
      <c r="AK46" s="987"/>
      <c r="AL46" s="913"/>
      <c r="AM46" s="913"/>
      <c r="AN46" s="913"/>
      <c r="AO46" s="913"/>
      <c r="AP46" s="913"/>
      <c r="AQ46" s="913"/>
      <c r="AR46" s="913"/>
      <c r="AS46" s="913"/>
    </row>
    <row r="47" spans="1:45" ht="36.75" x14ac:dyDescent="0.25">
      <c r="A47" s="232"/>
      <c r="B47" s="102" t="s">
        <v>143</v>
      </c>
      <c r="C47" s="102" t="s">
        <v>110</v>
      </c>
      <c r="D47" s="24">
        <f t="shared" si="11"/>
        <v>70</v>
      </c>
      <c r="E47" s="24">
        <f t="shared" si="20"/>
        <v>0</v>
      </c>
      <c r="F47" s="24">
        <f t="shared" si="21"/>
        <v>0</v>
      </c>
      <c r="G47" s="24">
        <f t="shared" si="23"/>
        <v>70</v>
      </c>
      <c r="H47" s="24"/>
      <c r="I47" s="791"/>
      <c r="J47" s="791"/>
      <c r="K47" s="791"/>
      <c r="L47" s="791"/>
      <c r="M47" s="791">
        <f t="shared" si="22"/>
        <v>70</v>
      </c>
      <c r="N47" s="791"/>
      <c r="O47" s="764"/>
      <c r="P47" s="798">
        <v>70</v>
      </c>
      <c r="Q47" s="791">
        <f t="shared" si="15"/>
        <v>0</v>
      </c>
      <c r="R47" s="797"/>
      <c r="S47" s="791"/>
      <c r="T47" s="791"/>
      <c r="U47" s="792">
        <f t="shared" si="16"/>
        <v>0</v>
      </c>
      <c r="V47" s="795"/>
      <c r="W47" s="792"/>
      <c r="X47" s="792"/>
      <c r="Y47" s="792">
        <f t="shared" si="17"/>
        <v>0</v>
      </c>
      <c r="Z47" s="1199"/>
      <c r="AA47" s="1199"/>
      <c r="AB47" s="1199"/>
      <c r="AC47" s="830">
        <f t="shared" si="18"/>
        <v>0</v>
      </c>
      <c r="AD47" s="831"/>
      <c r="AE47" s="831"/>
      <c r="AF47" s="831"/>
      <c r="AG47" s="831"/>
      <c r="AH47" s="749">
        <f t="shared" si="19"/>
        <v>0</v>
      </c>
      <c r="AI47" s="832"/>
      <c r="AJ47" s="825"/>
      <c r="AK47" s="987"/>
      <c r="AL47" s="913"/>
      <c r="AM47" s="913"/>
      <c r="AN47" s="913"/>
      <c r="AO47" s="913"/>
      <c r="AP47" s="913"/>
      <c r="AQ47" s="913"/>
      <c r="AR47" s="913"/>
      <c r="AS47" s="913"/>
    </row>
    <row r="48" spans="1:45" ht="36.75" x14ac:dyDescent="0.25">
      <c r="A48" s="232"/>
      <c r="B48" s="102" t="s">
        <v>150</v>
      </c>
      <c r="C48" s="102" t="s">
        <v>97</v>
      </c>
      <c r="D48" s="24">
        <f t="shared" si="11"/>
        <v>130</v>
      </c>
      <c r="E48" s="24">
        <f t="shared" si="20"/>
        <v>0</v>
      </c>
      <c r="F48" s="24">
        <f t="shared" si="21"/>
        <v>0</v>
      </c>
      <c r="G48" s="24">
        <f t="shared" si="23"/>
        <v>130</v>
      </c>
      <c r="H48" s="24"/>
      <c r="I48" s="791"/>
      <c r="J48" s="791"/>
      <c r="K48" s="791"/>
      <c r="L48" s="791"/>
      <c r="M48" s="791">
        <f t="shared" si="22"/>
        <v>130</v>
      </c>
      <c r="N48" s="791"/>
      <c r="O48" s="799"/>
      <c r="P48" s="798">
        <v>130</v>
      </c>
      <c r="Q48" s="791">
        <f t="shared" si="15"/>
        <v>0</v>
      </c>
      <c r="R48" s="799"/>
      <c r="S48" s="791"/>
      <c r="T48" s="791"/>
      <c r="U48" s="792">
        <f t="shared" si="16"/>
        <v>0</v>
      </c>
      <c r="V48" s="795"/>
      <c r="W48" s="792"/>
      <c r="X48" s="792"/>
      <c r="Y48" s="792">
        <f t="shared" si="17"/>
        <v>0</v>
      </c>
      <c r="Z48" s="1199"/>
      <c r="AA48" s="1199"/>
      <c r="AB48" s="1199"/>
      <c r="AC48" s="830">
        <f t="shared" si="18"/>
        <v>0</v>
      </c>
      <c r="AD48" s="831"/>
      <c r="AE48" s="831"/>
      <c r="AF48" s="831"/>
      <c r="AG48" s="831"/>
      <c r="AH48" s="749">
        <f t="shared" si="19"/>
        <v>0</v>
      </c>
      <c r="AI48" s="832"/>
      <c r="AJ48" s="825"/>
      <c r="AK48" s="987"/>
      <c r="AL48" s="913"/>
      <c r="AM48" s="913"/>
      <c r="AN48" s="913"/>
      <c r="AO48" s="913"/>
      <c r="AP48" s="913"/>
      <c r="AQ48" s="913"/>
      <c r="AR48" s="913"/>
      <c r="AS48" s="913"/>
    </row>
    <row r="49" spans="1:45" ht="24.75" x14ac:dyDescent="0.25">
      <c r="A49" s="232"/>
      <c r="B49" s="102" t="s">
        <v>152</v>
      </c>
      <c r="C49" s="102" t="s">
        <v>11</v>
      </c>
      <c r="D49" s="24">
        <f t="shared" si="11"/>
        <v>20.574000000000002</v>
      </c>
      <c r="E49" s="24">
        <f t="shared" si="20"/>
        <v>0</v>
      </c>
      <c r="F49" s="24">
        <f t="shared" si="21"/>
        <v>0</v>
      </c>
      <c r="G49" s="24">
        <f t="shared" si="23"/>
        <v>20.574000000000002</v>
      </c>
      <c r="H49" s="24"/>
      <c r="I49" s="791"/>
      <c r="J49" s="791"/>
      <c r="K49" s="791"/>
      <c r="L49" s="791"/>
      <c r="M49" s="791">
        <f t="shared" si="22"/>
        <v>20.574000000000002</v>
      </c>
      <c r="N49" s="791"/>
      <c r="O49" s="799"/>
      <c r="P49" s="798">
        <v>20.574000000000002</v>
      </c>
      <c r="Q49" s="791">
        <f t="shared" si="15"/>
        <v>0</v>
      </c>
      <c r="R49" s="799"/>
      <c r="S49" s="791"/>
      <c r="T49" s="791"/>
      <c r="U49" s="792">
        <f t="shared" si="16"/>
        <v>0</v>
      </c>
      <c r="V49" s="792"/>
      <c r="W49" s="792"/>
      <c r="X49" s="792"/>
      <c r="Y49" s="792">
        <f t="shared" si="17"/>
        <v>0</v>
      </c>
      <c r="Z49" s="1199"/>
      <c r="AA49" s="1199"/>
      <c r="AB49" s="1199"/>
      <c r="AC49" s="830">
        <f t="shared" si="18"/>
        <v>0</v>
      </c>
      <c r="AD49" s="831"/>
      <c r="AE49" s="831"/>
      <c r="AF49" s="831"/>
      <c r="AG49" s="831"/>
      <c r="AH49" s="749">
        <f t="shared" si="19"/>
        <v>0</v>
      </c>
      <c r="AI49" s="832"/>
      <c r="AJ49" s="825"/>
      <c r="AK49" s="987"/>
      <c r="AL49" s="913"/>
      <c r="AM49" s="913"/>
      <c r="AN49" s="913"/>
      <c r="AO49" s="913"/>
      <c r="AP49" s="913"/>
      <c r="AQ49" s="913"/>
      <c r="AR49" s="913"/>
      <c r="AS49" s="913"/>
    </row>
    <row r="50" spans="1:45" ht="24.75" x14ac:dyDescent="0.25">
      <c r="A50" s="232"/>
      <c r="B50" s="102" t="s">
        <v>179</v>
      </c>
      <c r="C50" s="102" t="s">
        <v>11</v>
      </c>
      <c r="D50" s="24">
        <f t="shared" si="11"/>
        <v>3</v>
      </c>
      <c r="E50" s="24">
        <f t="shared" si="20"/>
        <v>0</v>
      </c>
      <c r="F50" s="24">
        <f t="shared" si="21"/>
        <v>0</v>
      </c>
      <c r="G50" s="24">
        <f t="shared" si="23"/>
        <v>3</v>
      </c>
      <c r="H50" s="24"/>
      <c r="I50" s="791"/>
      <c r="J50" s="791"/>
      <c r="K50" s="791"/>
      <c r="L50" s="791"/>
      <c r="M50" s="791">
        <f t="shared" si="22"/>
        <v>3</v>
      </c>
      <c r="N50" s="791"/>
      <c r="O50" s="799"/>
      <c r="P50" s="798">
        <v>3</v>
      </c>
      <c r="Q50" s="791">
        <f t="shared" si="15"/>
        <v>0</v>
      </c>
      <c r="R50" s="799"/>
      <c r="S50" s="791"/>
      <c r="T50" s="791"/>
      <c r="U50" s="792">
        <f t="shared" si="16"/>
        <v>0</v>
      </c>
      <c r="V50" s="792"/>
      <c r="W50" s="792"/>
      <c r="X50" s="792"/>
      <c r="Y50" s="792">
        <f t="shared" si="17"/>
        <v>0</v>
      </c>
      <c r="Z50" s="1199"/>
      <c r="AA50" s="1199"/>
      <c r="AB50" s="1199"/>
      <c r="AC50" s="830">
        <f t="shared" si="18"/>
        <v>0</v>
      </c>
      <c r="AD50" s="831"/>
      <c r="AE50" s="831"/>
      <c r="AF50" s="831"/>
      <c r="AG50" s="831"/>
      <c r="AH50" s="749">
        <f t="shared" si="19"/>
        <v>0</v>
      </c>
      <c r="AI50" s="832"/>
      <c r="AJ50" s="825"/>
      <c r="AK50" s="987"/>
      <c r="AL50" s="913"/>
      <c r="AM50" s="913"/>
      <c r="AN50" s="913"/>
      <c r="AO50" s="913"/>
      <c r="AP50" s="913"/>
      <c r="AQ50" s="913"/>
      <c r="AR50" s="913"/>
      <c r="AS50" s="913"/>
    </row>
    <row r="51" spans="1:45" ht="24.75" x14ac:dyDescent="0.25">
      <c r="A51" s="232"/>
      <c r="B51" s="234" t="s">
        <v>181</v>
      </c>
      <c r="C51" s="102" t="s">
        <v>11</v>
      </c>
      <c r="D51" s="24">
        <f t="shared" si="11"/>
        <v>8.61</v>
      </c>
      <c r="E51" s="24">
        <f t="shared" si="20"/>
        <v>0</v>
      </c>
      <c r="F51" s="24">
        <f t="shared" si="21"/>
        <v>0</v>
      </c>
      <c r="G51" s="24">
        <f t="shared" si="23"/>
        <v>8.61</v>
      </c>
      <c r="H51" s="24"/>
      <c r="I51" s="791"/>
      <c r="J51" s="791"/>
      <c r="K51" s="791"/>
      <c r="L51" s="791"/>
      <c r="M51" s="791">
        <f t="shared" si="22"/>
        <v>8.61</v>
      </c>
      <c r="N51" s="791"/>
      <c r="O51" s="799"/>
      <c r="P51" s="798">
        <v>8.61</v>
      </c>
      <c r="Q51" s="791">
        <f t="shared" si="15"/>
        <v>0</v>
      </c>
      <c r="R51" s="799"/>
      <c r="S51" s="791"/>
      <c r="T51" s="791"/>
      <c r="U51" s="792">
        <f t="shared" si="16"/>
        <v>0</v>
      </c>
      <c r="V51" s="792"/>
      <c r="W51" s="792"/>
      <c r="X51" s="792"/>
      <c r="Y51" s="792">
        <f t="shared" si="17"/>
        <v>0</v>
      </c>
      <c r="Z51" s="1199"/>
      <c r="AA51" s="1199"/>
      <c r="AB51" s="1199"/>
      <c r="AC51" s="830">
        <f t="shared" si="18"/>
        <v>0</v>
      </c>
      <c r="AD51" s="831"/>
      <c r="AE51" s="831"/>
      <c r="AF51" s="831"/>
      <c r="AG51" s="831"/>
      <c r="AH51" s="749">
        <f t="shared" si="19"/>
        <v>0</v>
      </c>
      <c r="AI51" s="832"/>
      <c r="AJ51" s="825"/>
      <c r="AK51" s="987"/>
      <c r="AL51" s="913"/>
      <c r="AM51" s="913"/>
      <c r="AN51" s="913"/>
      <c r="AO51" s="913"/>
      <c r="AP51" s="913"/>
      <c r="AQ51" s="913"/>
      <c r="AR51" s="913"/>
      <c r="AS51" s="913"/>
    </row>
    <row r="52" spans="1:45" ht="24.75" x14ac:dyDescent="0.25">
      <c r="A52" s="232"/>
      <c r="B52" s="102" t="s">
        <v>151</v>
      </c>
      <c r="C52" s="102" t="s">
        <v>26</v>
      </c>
      <c r="D52" s="24">
        <f t="shared" si="11"/>
        <v>72</v>
      </c>
      <c r="E52" s="24">
        <f t="shared" si="20"/>
        <v>0</v>
      </c>
      <c r="F52" s="24">
        <f t="shared" si="21"/>
        <v>0</v>
      </c>
      <c r="G52" s="24">
        <f t="shared" si="23"/>
        <v>72</v>
      </c>
      <c r="H52" s="24"/>
      <c r="I52" s="791"/>
      <c r="J52" s="791"/>
      <c r="K52" s="791"/>
      <c r="L52" s="791"/>
      <c r="M52" s="791">
        <f t="shared" si="22"/>
        <v>72</v>
      </c>
      <c r="N52" s="791"/>
      <c r="O52" s="799"/>
      <c r="P52" s="798">
        <v>72</v>
      </c>
      <c r="Q52" s="791">
        <f t="shared" si="15"/>
        <v>0</v>
      </c>
      <c r="R52" s="799"/>
      <c r="S52" s="791"/>
      <c r="T52" s="791"/>
      <c r="U52" s="792">
        <f t="shared" si="16"/>
        <v>0</v>
      </c>
      <c r="V52" s="792"/>
      <c r="W52" s="792"/>
      <c r="X52" s="792"/>
      <c r="Y52" s="792">
        <f t="shared" si="17"/>
        <v>0</v>
      </c>
      <c r="Z52" s="1199"/>
      <c r="AA52" s="1199"/>
      <c r="AB52" s="1199"/>
      <c r="AC52" s="830">
        <f t="shared" si="18"/>
        <v>0</v>
      </c>
      <c r="AD52" s="831"/>
      <c r="AE52" s="831"/>
      <c r="AF52" s="831"/>
      <c r="AG52" s="831"/>
      <c r="AH52" s="749">
        <f t="shared" si="19"/>
        <v>0</v>
      </c>
      <c r="AI52" s="832"/>
      <c r="AJ52" s="825"/>
      <c r="AK52" s="987"/>
      <c r="AL52" s="913"/>
      <c r="AM52" s="913"/>
      <c r="AN52" s="913"/>
      <c r="AO52" s="913"/>
      <c r="AP52" s="913"/>
      <c r="AQ52" s="913"/>
      <c r="AR52" s="913"/>
      <c r="AS52" s="913"/>
    </row>
    <row r="53" spans="1:45" ht="24.75" x14ac:dyDescent="0.25">
      <c r="A53" s="232"/>
      <c r="B53" s="102" t="s">
        <v>277</v>
      </c>
      <c r="C53" s="102" t="s">
        <v>148</v>
      </c>
      <c r="D53" s="24">
        <f t="shared" si="11"/>
        <v>361.81</v>
      </c>
      <c r="E53" s="24">
        <f t="shared" si="20"/>
        <v>0</v>
      </c>
      <c r="F53" s="24">
        <f t="shared" si="21"/>
        <v>0</v>
      </c>
      <c r="G53" s="24">
        <f t="shared" si="23"/>
        <v>361.81</v>
      </c>
      <c r="H53" s="24"/>
      <c r="I53" s="791"/>
      <c r="J53" s="791"/>
      <c r="K53" s="791"/>
      <c r="L53" s="791"/>
      <c r="M53" s="791"/>
      <c r="N53" s="791"/>
      <c r="O53" s="799"/>
      <c r="P53" s="798"/>
      <c r="Q53" s="799">
        <f>R53+S53+T53</f>
        <v>361.81</v>
      </c>
      <c r="R53" s="799"/>
      <c r="S53" s="791"/>
      <c r="T53" s="791">
        <v>361.81</v>
      </c>
      <c r="U53" s="792">
        <f t="shared" si="16"/>
        <v>0</v>
      </c>
      <c r="V53" s="792"/>
      <c r="W53" s="792"/>
      <c r="X53" s="792"/>
      <c r="Y53" s="792">
        <f t="shared" si="17"/>
        <v>0</v>
      </c>
      <c r="Z53" s="1199"/>
      <c r="AA53" s="1199"/>
      <c r="AB53" s="1199"/>
      <c r="AC53" s="830">
        <f t="shared" si="18"/>
        <v>0</v>
      </c>
      <c r="AD53" s="391"/>
      <c r="AE53" s="391"/>
      <c r="AF53" s="391"/>
      <c r="AG53" s="831"/>
      <c r="AH53" s="749">
        <f t="shared" si="19"/>
        <v>0</v>
      </c>
      <c r="AI53" s="832"/>
      <c r="AJ53" s="825"/>
      <c r="AK53" s="987"/>
      <c r="AL53" s="913"/>
      <c r="AM53" s="913"/>
      <c r="AN53" s="913"/>
      <c r="AO53" s="913"/>
      <c r="AP53" s="913"/>
      <c r="AQ53" s="913"/>
      <c r="AR53" s="913"/>
      <c r="AS53" s="913"/>
    </row>
    <row r="54" spans="1:45" ht="24.75" x14ac:dyDescent="0.25">
      <c r="A54" s="232"/>
      <c r="B54" s="74" t="s">
        <v>344</v>
      </c>
      <c r="C54" s="74" t="s">
        <v>16</v>
      </c>
      <c r="D54" s="24">
        <f t="shared" si="11"/>
        <v>100</v>
      </c>
      <c r="E54" s="24">
        <f t="shared" si="20"/>
        <v>0</v>
      </c>
      <c r="F54" s="24">
        <f t="shared" si="21"/>
        <v>0</v>
      </c>
      <c r="G54" s="24">
        <f t="shared" si="23"/>
        <v>100</v>
      </c>
      <c r="H54" s="24"/>
      <c r="I54" s="791"/>
      <c r="J54" s="791"/>
      <c r="K54" s="791"/>
      <c r="L54" s="791"/>
      <c r="M54" s="791"/>
      <c r="N54" s="791"/>
      <c r="O54" s="799"/>
      <c r="P54" s="798"/>
      <c r="Q54" s="799">
        <f>R54+S54+T54</f>
        <v>100</v>
      </c>
      <c r="R54" s="799"/>
      <c r="S54" s="791"/>
      <c r="T54" s="791">
        <v>100</v>
      </c>
      <c r="U54" s="791">
        <f t="shared" si="16"/>
        <v>0</v>
      </c>
      <c r="V54" s="791"/>
      <c r="W54" s="791"/>
      <c r="X54" s="791"/>
      <c r="Y54" s="791">
        <f t="shared" si="17"/>
        <v>0</v>
      </c>
      <c r="Z54" s="861"/>
      <c r="AA54" s="861"/>
      <c r="AB54" s="861"/>
      <c r="AC54" s="661">
        <f t="shared" si="18"/>
        <v>0</v>
      </c>
      <c r="AD54" s="260"/>
      <c r="AE54" s="260"/>
      <c r="AF54" s="260"/>
      <c r="AG54" s="623"/>
      <c r="AH54" s="749">
        <f t="shared" si="19"/>
        <v>0</v>
      </c>
      <c r="AI54" s="825"/>
      <c r="AJ54" s="825"/>
      <c r="AK54" s="987"/>
      <c r="AL54" s="913"/>
      <c r="AM54" s="913"/>
      <c r="AN54" s="913"/>
      <c r="AO54" s="913"/>
      <c r="AP54" s="913"/>
      <c r="AQ54" s="913"/>
      <c r="AR54" s="913"/>
      <c r="AS54" s="913"/>
    </row>
    <row r="55" spans="1:45" ht="15" x14ac:dyDescent="0.25">
      <c r="A55" s="232"/>
      <c r="B55" s="397" t="s">
        <v>430</v>
      </c>
      <c r="C55" s="102" t="s">
        <v>431</v>
      </c>
      <c r="D55" s="24">
        <f t="shared" si="11"/>
        <v>20</v>
      </c>
      <c r="E55" s="24">
        <f t="shared" si="20"/>
        <v>0</v>
      </c>
      <c r="F55" s="24">
        <f t="shared" si="21"/>
        <v>0</v>
      </c>
      <c r="G55" s="24">
        <f t="shared" si="23"/>
        <v>20</v>
      </c>
      <c r="H55" s="24"/>
      <c r="I55" s="791"/>
      <c r="J55" s="791"/>
      <c r="K55" s="791"/>
      <c r="L55" s="791"/>
      <c r="M55" s="791"/>
      <c r="N55" s="791"/>
      <c r="O55" s="799"/>
      <c r="P55" s="798"/>
      <c r="Q55" s="799">
        <f>R55+S55+T55</f>
        <v>20</v>
      </c>
      <c r="R55" s="799"/>
      <c r="S55" s="791"/>
      <c r="T55" s="791">
        <v>20</v>
      </c>
      <c r="U55" s="791">
        <f t="shared" si="16"/>
        <v>0</v>
      </c>
      <c r="V55" s="791"/>
      <c r="W55" s="791"/>
      <c r="X55" s="791"/>
      <c r="Y55" s="791">
        <f t="shared" si="17"/>
        <v>0</v>
      </c>
      <c r="Z55" s="861"/>
      <c r="AA55" s="861"/>
      <c r="AB55" s="861"/>
      <c r="AC55" s="661">
        <f t="shared" si="18"/>
        <v>0</v>
      </c>
      <c r="AD55" s="260"/>
      <c r="AE55" s="260"/>
      <c r="AF55" s="260"/>
      <c r="AG55" s="623"/>
      <c r="AH55" s="749">
        <f t="shared" si="19"/>
        <v>0</v>
      </c>
      <c r="AI55" s="825"/>
      <c r="AJ55" s="825"/>
      <c r="AK55" s="987"/>
      <c r="AL55" s="913"/>
      <c r="AM55" s="913"/>
      <c r="AN55" s="913"/>
      <c r="AO55" s="913"/>
      <c r="AP55" s="913"/>
      <c r="AQ55" s="913"/>
      <c r="AR55" s="913"/>
      <c r="AS55" s="913"/>
    </row>
    <row r="56" spans="1:45" ht="60" customHeight="1" x14ac:dyDescent="0.25">
      <c r="A56" s="232"/>
      <c r="B56" s="70" t="s">
        <v>716</v>
      </c>
      <c r="C56" s="74" t="s">
        <v>717</v>
      </c>
      <c r="D56" s="24">
        <f t="shared" si="11"/>
        <v>176.59</v>
      </c>
      <c r="E56" s="24">
        <f t="shared" si="20"/>
        <v>0</v>
      </c>
      <c r="F56" s="24">
        <f t="shared" si="21"/>
        <v>0</v>
      </c>
      <c r="G56" s="24">
        <f t="shared" si="23"/>
        <v>176.59</v>
      </c>
      <c r="H56" s="24"/>
      <c r="I56" s="791"/>
      <c r="J56" s="791"/>
      <c r="K56" s="791"/>
      <c r="L56" s="791"/>
      <c r="M56" s="791"/>
      <c r="N56" s="791"/>
      <c r="O56" s="799"/>
      <c r="P56" s="798"/>
      <c r="Q56" s="799">
        <f>R56+S56+T56</f>
        <v>0</v>
      </c>
      <c r="R56" s="799"/>
      <c r="S56" s="791"/>
      <c r="T56" s="791"/>
      <c r="U56" s="791">
        <f t="shared" si="16"/>
        <v>30</v>
      </c>
      <c r="V56" s="791"/>
      <c r="W56" s="791"/>
      <c r="X56" s="791">
        <v>30</v>
      </c>
      <c r="Y56" s="791">
        <f t="shared" si="17"/>
        <v>0</v>
      </c>
      <c r="Z56" s="861"/>
      <c r="AA56" s="861"/>
      <c r="AB56" s="861"/>
      <c r="AC56" s="661">
        <f t="shared" si="18"/>
        <v>146.59</v>
      </c>
      <c r="AD56" s="260"/>
      <c r="AE56" s="260"/>
      <c r="AF56" s="624">
        <f>39.57+41.02+66</f>
        <v>146.59</v>
      </c>
      <c r="AG56" s="623"/>
      <c r="AH56" s="749">
        <f t="shared" si="19"/>
        <v>0</v>
      </c>
      <c r="AI56" s="825"/>
      <c r="AJ56" s="825"/>
      <c r="AK56" s="987"/>
      <c r="AL56" s="913"/>
      <c r="AM56" s="913"/>
      <c r="AN56" s="913"/>
      <c r="AO56" s="913"/>
      <c r="AP56" s="913"/>
      <c r="AQ56" s="913"/>
      <c r="AR56" s="913"/>
      <c r="AS56" s="913"/>
    </row>
    <row r="57" spans="1:45" ht="24.75" x14ac:dyDescent="0.25">
      <c r="A57" s="232"/>
      <c r="B57" s="70" t="s">
        <v>554</v>
      </c>
      <c r="C57" s="74" t="s">
        <v>724</v>
      </c>
      <c r="D57" s="24">
        <f t="shared" si="11"/>
        <v>1162</v>
      </c>
      <c r="E57" s="24">
        <f t="shared" si="20"/>
        <v>0</v>
      </c>
      <c r="F57" s="24">
        <f t="shared" si="21"/>
        <v>0</v>
      </c>
      <c r="G57" s="24">
        <f t="shared" si="23"/>
        <v>1162</v>
      </c>
      <c r="H57" s="24"/>
      <c r="I57" s="791"/>
      <c r="J57" s="791"/>
      <c r="K57" s="791"/>
      <c r="L57" s="791"/>
      <c r="M57" s="791"/>
      <c r="N57" s="791"/>
      <c r="O57" s="799"/>
      <c r="P57" s="798"/>
      <c r="Q57" s="799">
        <f>R57+S57+T57</f>
        <v>600</v>
      </c>
      <c r="R57" s="799"/>
      <c r="S57" s="791"/>
      <c r="T57" s="791">
        <v>600</v>
      </c>
      <c r="U57" s="791">
        <f t="shared" si="16"/>
        <v>0</v>
      </c>
      <c r="V57" s="791"/>
      <c r="W57" s="791"/>
      <c r="X57" s="791"/>
      <c r="Y57" s="791">
        <f t="shared" si="17"/>
        <v>0</v>
      </c>
      <c r="Z57" s="861"/>
      <c r="AA57" s="861"/>
      <c r="AB57" s="861"/>
      <c r="AC57" s="661">
        <f t="shared" si="18"/>
        <v>562</v>
      </c>
      <c r="AD57" s="260"/>
      <c r="AE57" s="260"/>
      <c r="AF57" s="624">
        <f>885.454-323.454</f>
        <v>562</v>
      </c>
      <c r="AG57" s="623"/>
      <c r="AH57" s="749">
        <f t="shared" si="19"/>
        <v>0</v>
      </c>
      <c r="AI57" s="825"/>
      <c r="AJ57" s="825"/>
      <c r="AK57" s="987"/>
      <c r="AL57" s="913"/>
      <c r="AM57" s="913"/>
      <c r="AN57" s="913"/>
      <c r="AO57" s="913"/>
      <c r="AP57" s="913"/>
      <c r="AQ57" s="913"/>
      <c r="AR57" s="913"/>
      <c r="AS57" s="913"/>
    </row>
    <row r="58" spans="1:45" ht="24.75" x14ac:dyDescent="0.25">
      <c r="A58" s="232"/>
      <c r="B58" s="397" t="s">
        <v>607</v>
      </c>
      <c r="C58" s="102" t="s">
        <v>454</v>
      </c>
      <c r="D58" s="24">
        <f t="shared" si="11"/>
        <v>42.2</v>
      </c>
      <c r="E58" s="24">
        <f t="shared" si="20"/>
        <v>0</v>
      </c>
      <c r="F58" s="24">
        <f t="shared" si="21"/>
        <v>0</v>
      </c>
      <c r="G58" s="24">
        <f t="shared" si="23"/>
        <v>42.2</v>
      </c>
      <c r="H58" s="24"/>
      <c r="I58" s="791"/>
      <c r="J58" s="791"/>
      <c r="K58" s="791"/>
      <c r="L58" s="791"/>
      <c r="M58" s="791"/>
      <c r="N58" s="791"/>
      <c r="O58" s="799"/>
      <c r="P58" s="798"/>
      <c r="Q58" s="799"/>
      <c r="R58" s="799"/>
      <c r="S58" s="791"/>
      <c r="T58" s="791"/>
      <c r="U58" s="791">
        <f t="shared" si="16"/>
        <v>42.2</v>
      </c>
      <c r="V58" s="791"/>
      <c r="W58" s="791"/>
      <c r="X58" s="791">
        <v>42.2</v>
      </c>
      <c r="Y58" s="791">
        <f t="shared" si="17"/>
        <v>0</v>
      </c>
      <c r="Z58" s="861"/>
      <c r="AA58" s="861"/>
      <c r="AB58" s="861"/>
      <c r="AC58" s="661">
        <f t="shared" si="18"/>
        <v>0</v>
      </c>
      <c r="AD58" s="623"/>
      <c r="AE58" s="623"/>
      <c r="AF58" s="623"/>
      <c r="AG58" s="623"/>
      <c r="AH58" s="749">
        <f t="shared" si="19"/>
        <v>0</v>
      </c>
      <c r="AI58" s="825"/>
      <c r="AJ58" s="825"/>
      <c r="AK58" s="987"/>
      <c r="AL58" s="913"/>
      <c r="AM58" s="913"/>
      <c r="AN58" s="913"/>
      <c r="AO58" s="913"/>
      <c r="AP58" s="913"/>
      <c r="AQ58" s="913"/>
      <c r="AR58" s="913"/>
      <c r="AS58" s="913"/>
    </row>
    <row r="59" spans="1:45" ht="15" x14ac:dyDescent="0.25">
      <c r="A59" s="232"/>
      <c r="B59" s="397" t="s">
        <v>655</v>
      </c>
      <c r="C59" s="102" t="s">
        <v>43</v>
      </c>
      <c r="D59" s="24">
        <f t="shared" si="11"/>
        <v>33.599999999999994</v>
      </c>
      <c r="E59" s="24"/>
      <c r="F59" s="24"/>
      <c r="G59" s="24">
        <f t="shared" si="23"/>
        <v>33.599999999999994</v>
      </c>
      <c r="H59" s="24"/>
      <c r="I59" s="791"/>
      <c r="J59" s="791"/>
      <c r="K59" s="791"/>
      <c r="L59" s="791"/>
      <c r="M59" s="791"/>
      <c r="N59" s="791"/>
      <c r="O59" s="799"/>
      <c r="P59" s="798"/>
      <c r="Q59" s="799"/>
      <c r="R59" s="799"/>
      <c r="S59" s="791"/>
      <c r="T59" s="791"/>
      <c r="U59" s="791"/>
      <c r="V59" s="791"/>
      <c r="W59" s="791"/>
      <c r="X59" s="791"/>
      <c r="Y59" s="791">
        <f t="shared" si="17"/>
        <v>33.599999999999994</v>
      </c>
      <c r="Z59" s="861"/>
      <c r="AA59" s="861"/>
      <c r="AB59" s="861">
        <f>33.8-0.2</f>
        <v>33.599999999999994</v>
      </c>
      <c r="AC59" s="661">
        <f t="shared" si="18"/>
        <v>0</v>
      </c>
      <c r="AD59" s="623"/>
      <c r="AE59" s="623"/>
      <c r="AF59" s="623"/>
      <c r="AG59" s="623"/>
      <c r="AH59" s="749">
        <f t="shared" si="19"/>
        <v>0</v>
      </c>
      <c r="AI59" s="825"/>
      <c r="AJ59" s="825"/>
      <c r="AK59" s="987"/>
      <c r="AL59" s="913"/>
      <c r="AM59" s="913"/>
      <c r="AN59" s="913"/>
      <c r="AO59" s="913"/>
      <c r="AP59" s="913"/>
      <c r="AQ59" s="913"/>
      <c r="AR59" s="913"/>
      <c r="AS59" s="913"/>
    </row>
    <row r="60" spans="1:45" ht="36" x14ac:dyDescent="0.25">
      <c r="A60" s="143"/>
      <c r="B60" s="70" t="s">
        <v>718</v>
      </c>
      <c r="C60" s="74" t="s">
        <v>43</v>
      </c>
      <c r="D60" s="24">
        <f t="shared" si="11"/>
        <v>45</v>
      </c>
      <c r="E60" s="24"/>
      <c r="F60" s="24"/>
      <c r="G60" s="24">
        <f t="shared" si="23"/>
        <v>45</v>
      </c>
      <c r="H60" s="24"/>
      <c r="I60" s="791"/>
      <c r="J60" s="791"/>
      <c r="K60" s="791"/>
      <c r="L60" s="791"/>
      <c r="M60" s="791"/>
      <c r="N60" s="791"/>
      <c r="O60" s="799"/>
      <c r="P60" s="798"/>
      <c r="Q60" s="799"/>
      <c r="R60" s="799"/>
      <c r="S60" s="791"/>
      <c r="T60" s="791"/>
      <c r="U60" s="791"/>
      <c r="V60" s="791"/>
      <c r="W60" s="791"/>
      <c r="X60" s="791"/>
      <c r="Y60" s="791"/>
      <c r="Z60" s="861"/>
      <c r="AA60" s="861"/>
      <c r="AB60" s="861"/>
      <c r="AC60" s="661">
        <f t="shared" si="18"/>
        <v>45</v>
      </c>
      <c r="AD60" s="623"/>
      <c r="AE60" s="623"/>
      <c r="AF60" s="624">
        <v>45</v>
      </c>
      <c r="AG60" s="623"/>
      <c r="AH60" s="749">
        <f t="shared" si="19"/>
        <v>0</v>
      </c>
      <c r="AI60" s="825"/>
      <c r="AJ60" s="825"/>
      <c r="AK60" s="987"/>
      <c r="AL60" s="913"/>
      <c r="AM60" s="1030"/>
      <c r="AN60" s="1030"/>
      <c r="AO60" s="913"/>
      <c r="AP60" s="913"/>
      <c r="AQ60" s="1030"/>
      <c r="AR60" s="1030"/>
      <c r="AS60" s="913"/>
    </row>
    <row r="61" spans="1:45" ht="15" x14ac:dyDescent="0.25">
      <c r="A61" s="1518"/>
      <c r="B61" s="1571" t="s">
        <v>809</v>
      </c>
      <c r="C61" s="1517" t="s">
        <v>810</v>
      </c>
      <c r="D61" s="24"/>
      <c r="E61" s="24"/>
      <c r="F61" s="24"/>
      <c r="G61" s="24"/>
      <c r="H61" s="24"/>
      <c r="I61" s="791"/>
      <c r="J61" s="791"/>
      <c r="K61" s="791"/>
      <c r="L61" s="791"/>
      <c r="M61" s="791"/>
      <c r="N61" s="791"/>
      <c r="O61" s="799"/>
      <c r="P61" s="798"/>
      <c r="Q61" s="799"/>
      <c r="R61" s="799"/>
      <c r="S61" s="791"/>
      <c r="T61" s="791"/>
      <c r="U61" s="791"/>
      <c r="V61" s="791"/>
      <c r="W61" s="791"/>
      <c r="X61" s="791"/>
      <c r="Y61" s="791"/>
      <c r="Z61" s="861"/>
      <c r="AA61" s="861"/>
      <c r="AB61" s="861"/>
      <c r="AC61" s="661"/>
      <c r="AD61" s="623"/>
      <c r="AE61" s="623"/>
      <c r="AF61" s="624"/>
      <c r="AG61" s="623"/>
      <c r="AH61" s="749">
        <f t="shared" si="19"/>
        <v>1377.25</v>
      </c>
      <c r="AI61" s="825"/>
      <c r="AJ61" s="825"/>
      <c r="AK61" s="984">
        <v>1377.25</v>
      </c>
      <c r="AL61" s="913"/>
      <c r="AM61" s="1030"/>
      <c r="AN61" s="1030"/>
      <c r="AO61" s="913"/>
      <c r="AP61" s="913"/>
      <c r="AQ61" s="1030"/>
      <c r="AR61" s="1030"/>
      <c r="AS61" s="913"/>
    </row>
    <row r="62" spans="1:45" ht="24.75" x14ac:dyDescent="0.25">
      <c r="A62" s="1518"/>
      <c r="B62" s="1517" t="s">
        <v>755</v>
      </c>
      <c r="C62" s="1517" t="s">
        <v>43</v>
      </c>
      <c r="D62" s="24"/>
      <c r="E62" s="24"/>
      <c r="F62" s="24"/>
      <c r="G62" s="24"/>
      <c r="H62" s="24"/>
      <c r="I62" s="791"/>
      <c r="J62" s="791"/>
      <c r="K62" s="791"/>
      <c r="L62" s="791"/>
      <c r="M62" s="791"/>
      <c r="N62" s="791"/>
      <c r="O62" s="799"/>
      <c r="P62" s="798"/>
      <c r="Q62" s="799"/>
      <c r="R62" s="799"/>
      <c r="S62" s="791"/>
      <c r="T62" s="791"/>
      <c r="U62" s="791"/>
      <c r="V62" s="791"/>
      <c r="W62" s="791"/>
      <c r="X62" s="791"/>
      <c r="Y62" s="791"/>
      <c r="Z62" s="861"/>
      <c r="AA62" s="861"/>
      <c r="AB62" s="861"/>
      <c r="AC62" s="661"/>
      <c r="AD62" s="623"/>
      <c r="AE62" s="623"/>
      <c r="AF62" s="624"/>
      <c r="AG62" s="623"/>
      <c r="AH62" s="749">
        <f t="shared" si="19"/>
        <v>270</v>
      </c>
      <c r="AI62" s="825"/>
      <c r="AJ62" s="825"/>
      <c r="AK62" s="984">
        <f>150+120</f>
        <v>270</v>
      </c>
      <c r="AL62" s="913"/>
      <c r="AM62" s="1030"/>
      <c r="AN62" s="1030"/>
      <c r="AO62" s="913"/>
      <c r="AP62" s="913"/>
      <c r="AQ62" s="1030"/>
      <c r="AR62" s="1030"/>
      <c r="AS62" s="913"/>
    </row>
    <row r="63" spans="1:45" ht="24.75" x14ac:dyDescent="0.25">
      <c r="A63" s="1518"/>
      <c r="B63" s="1517" t="s">
        <v>756</v>
      </c>
      <c r="C63" s="1517" t="s">
        <v>68</v>
      </c>
      <c r="D63" s="24"/>
      <c r="E63" s="24"/>
      <c r="F63" s="24"/>
      <c r="G63" s="24"/>
      <c r="H63" s="24"/>
      <c r="I63" s="791"/>
      <c r="J63" s="791"/>
      <c r="K63" s="791"/>
      <c r="L63" s="791"/>
      <c r="M63" s="791"/>
      <c r="N63" s="791"/>
      <c r="O63" s="799"/>
      <c r="P63" s="798"/>
      <c r="Q63" s="799"/>
      <c r="R63" s="799"/>
      <c r="S63" s="791"/>
      <c r="T63" s="791"/>
      <c r="U63" s="791"/>
      <c r="V63" s="791"/>
      <c r="W63" s="791"/>
      <c r="X63" s="791"/>
      <c r="Y63" s="791"/>
      <c r="Z63" s="861"/>
      <c r="AA63" s="861"/>
      <c r="AB63" s="861"/>
      <c r="AC63" s="661"/>
      <c r="AD63" s="623"/>
      <c r="AE63" s="623"/>
      <c r="AF63" s="624"/>
      <c r="AG63" s="623"/>
      <c r="AH63" s="749">
        <f t="shared" si="19"/>
        <v>150</v>
      </c>
      <c r="AI63" s="825"/>
      <c r="AJ63" s="825"/>
      <c r="AK63" s="984">
        <v>150</v>
      </c>
      <c r="AL63" s="913"/>
      <c r="AM63" s="1030"/>
      <c r="AN63" s="1030"/>
      <c r="AO63" s="913"/>
      <c r="AP63" s="913"/>
      <c r="AQ63" s="1030"/>
      <c r="AR63" s="1030"/>
      <c r="AS63" s="913"/>
    </row>
    <row r="64" spans="1:45" ht="24.75" x14ac:dyDescent="0.25">
      <c r="A64" s="1518"/>
      <c r="B64" s="1517" t="s">
        <v>757</v>
      </c>
      <c r="C64" s="1517" t="s">
        <v>800</v>
      </c>
      <c r="D64" s="24"/>
      <c r="E64" s="24"/>
      <c r="F64" s="24"/>
      <c r="G64" s="24"/>
      <c r="H64" s="24"/>
      <c r="I64" s="791"/>
      <c r="J64" s="791"/>
      <c r="K64" s="791"/>
      <c r="L64" s="791"/>
      <c r="M64" s="791"/>
      <c r="N64" s="791"/>
      <c r="O64" s="799"/>
      <c r="P64" s="798"/>
      <c r="Q64" s="799"/>
      <c r="R64" s="799"/>
      <c r="S64" s="791"/>
      <c r="T64" s="791"/>
      <c r="U64" s="791"/>
      <c r="V64" s="791"/>
      <c r="W64" s="791"/>
      <c r="X64" s="791"/>
      <c r="Y64" s="791"/>
      <c r="Z64" s="861"/>
      <c r="AA64" s="861"/>
      <c r="AB64" s="861"/>
      <c r="AC64" s="661"/>
      <c r="AD64" s="623"/>
      <c r="AE64" s="623"/>
      <c r="AF64" s="624"/>
      <c r="AG64" s="623"/>
      <c r="AH64" s="749">
        <f t="shared" si="19"/>
        <v>165</v>
      </c>
      <c r="AI64" s="825"/>
      <c r="AJ64" s="825"/>
      <c r="AK64" s="984">
        <f>120+45</f>
        <v>165</v>
      </c>
      <c r="AL64" s="913"/>
      <c r="AM64" s="1030"/>
      <c r="AN64" s="1030"/>
      <c r="AO64" s="913"/>
      <c r="AP64" s="913"/>
      <c r="AQ64" s="1030"/>
      <c r="AR64" s="1030"/>
      <c r="AS64" s="913"/>
    </row>
    <row r="65" spans="1:45" ht="24.75" x14ac:dyDescent="0.25">
      <c r="A65" s="1518"/>
      <c r="B65" s="1517" t="s">
        <v>758</v>
      </c>
      <c r="C65" s="1517" t="s">
        <v>759</v>
      </c>
      <c r="D65" s="24"/>
      <c r="E65" s="24"/>
      <c r="F65" s="24"/>
      <c r="G65" s="24"/>
      <c r="H65" s="24"/>
      <c r="I65" s="791"/>
      <c r="J65" s="791"/>
      <c r="K65" s="791"/>
      <c r="L65" s="791"/>
      <c r="M65" s="791"/>
      <c r="N65" s="791"/>
      <c r="O65" s="799"/>
      <c r="P65" s="798"/>
      <c r="Q65" s="799"/>
      <c r="R65" s="799"/>
      <c r="S65" s="791"/>
      <c r="T65" s="791"/>
      <c r="U65" s="791"/>
      <c r="V65" s="791"/>
      <c r="W65" s="791"/>
      <c r="X65" s="791"/>
      <c r="Y65" s="791"/>
      <c r="Z65" s="861"/>
      <c r="AA65" s="861"/>
      <c r="AB65" s="861"/>
      <c r="AC65" s="661"/>
      <c r="AD65" s="623"/>
      <c r="AE65" s="623"/>
      <c r="AF65" s="624"/>
      <c r="AG65" s="623"/>
      <c r="AH65" s="749">
        <f t="shared" si="19"/>
        <v>148.25299999999999</v>
      </c>
      <c r="AI65" s="825"/>
      <c r="AJ65" s="825"/>
      <c r="AK65" s="984">
        <f>328.676-180.423</f>
        <v>148.25299999999999</v>
      </c>
      <c r="AL65" s="913"/>
      <c r="AM65" s="1030"/>
      <c r="AN65" s="1030"/>
      <c r="AO65" s="913"/>
      <c r="AP65" s="913"/>
      <c r="AQ65" s="1030"/>
      <c r="AR65" s="1030"/>
      <c r="AS65" s="913"/>
    </row>
    <row r="66" spans="1:45" ht="51.6" customHeight="1" x14ac:dyDescent="0.2">
      <c r="A66" s="98" t="s">
        <v>53</v>
      </c>
      <c r="B66" s="1083" t="s">
        <v>293</v>
      </c>
      <c r="C66" s="1083"/>
      <c r="D66" s="205">
        <f>E66+F66+G66</f>
        <v>47759.849159999998</v>
      </c>
      <c r="E66" s="205">
        <f>J66+N66+R66+V66+Z66+AD66+AI66+AM66+AQ66</f>
        <v>0</v>
      </c>
      <c r="F66" s="205">
        <f>K66+O66+S66+W66+AA66+AE66+AJ66+AN66+AR66</f>
        <v>35.194000000000003</v>
      </c>
      <c r="G66" s="205">
        <f>L66+P66+T66+X66+AB66+AF66+AK66+AO66+AS66</f>
        <v>47724.655159999995</v>
      </c>
      <c r="H66" s="205"/>
      <c r="I66" s="800">
        <f>SUM(I67:I104)</f>
        <v>3687.6299999999997</v>
      </c>
      <c r="J66" s="800">
        <f>SUM(J67:J104)</f>
        <v>0</v>
      </c>
      <c r="K66" s="800">
        <f>SUM(K67:K104)</f>
        <v>0</v>
      </c>
      <c r="L66" s="800">
        <f>SUM(L67:L104)</f>
        <v>3687.6299999999997</v>
      </c>
      <c r="M66" s="800">
        <f>SUM(M67:M106)</f>
        <v>2581.7049999999999</v>
      </c>
      <c r="N66" s="800">
        <f>SUM(N67:N104)</f>
        <v>0</v>
      </c>
      <c r="O66" s="800">
        <f>SUM(O67:O104)</f>
        <v>35.194000000000003</v>
      </c>
      <c r="P66" s="800">
        <f>SUM(P67:P106)</f>
        <v>2546.511</v>
      </c>
      <c r="Q66" s="801">
        <f>R66+S66+T66</f>
        <v>2615.0014400000005</v>
      </c>
      <c r="R66" s="800">
        <f>SUM(R67:R123)</f>
        <v>0</v>
      </c>
      <c r="S66" s="800">
        <f>SUM(S67:S123)</f>
        <v>0</v>
      </c>
      <c r="T66" s="800">
        <f>SUM(T67:T123)</f>
        <v>2615.0014400000005</v>
      </c>
      <c r="U66" s="801">
        <f>V66+W66+X66</f>
        <v>5479.1705700000011</v>
      </c>
      <c r="V66" s="800">
        <f>SUM(V67:V123)</f>
        <v>0</v>
      </c>
      <c r="W66" s="800">
        <f>SUM(W67:W123)</f>
        <v>0</v>
      </c>
      <c r="X66" s="800">
        <f>SUM(X67:X145)</f>
        <v>5479.1705700000011</v>
      </c>
      <c r="Y66" s="815">
        <f>Z66+AA66+AB66</f>
        <v>11494.971829999999</v>
      </c>
      <c r="Z66" s="800">
        <f>SUM(Z67:Z145)</f>
        <v>0</v>
      </c>
      <c r="AA66" s="800">
        <f>SUM(AA67:AA145)</f>
        <v>0</v>
      </c>
      <c r="AB66" s="800">
        <f>SUM(AB67:AB149)</f>
        <v>11494.971829999999</v>
      </c>
      <c r="AC66" s="1220">
        <f t="shared" si="18"/>
        <v>21081.770319999996</v>
      </c>
      <c r="AD66" s="205">
        <f>SUM(AD67:AD145)</f>
        <v>0</v>
      </c>
      <c r="AE66" s="205">
        <f>SUM(AE67:AE145)</f>
        <v>0</v>
      </c>
      <c r="AF66" s="888">
        <f>SUM(AF67:AF153)</f>
        <v>21081.770319999996</v>
      </c>
      <c r="AG66" s="205"/>
      <c r="AH66" s="1531">
        <f>AI66+AJ66+AK66</f>
        <v>819.6</v>
      </c>
      <c r="AI66" s="205">
        <f>SUM(AI67:AI145)</f>
        <v>0</v>
      </c>
      <c r="AJ66" s="205">
        <f>SUM(AJ67:AJ145)</f>
        <v>0</v>
      </c>
      <c r="AK66" s="205">
        <f>SUM(AK67:AK154)</f>
        <v>819.6</v>
      </c>
      <c r="AL66" s="995">
        <f>AM66+AN66+AO66</f>
        <v>0</v>
      </c>
      <c r="AM66" s="996">
        <v>0</v>
      </c>
      <c r="AN66" s="996">
        <v>0</v>
      </c>
      <c r="AO66" s="205">
        <f>SUM(AO67:AO145)</f>
        <v>0</v>
      </c>
      <c r="AP66" s="995">
        <f>AQ66+AR66+AS66</f>
        <v>0</v>
      </c>
      <c r="AQ66" s="996">
        <v>0</v>
      </c>
      <c r="AR66" s="996">
        <v>0</v>
      </c>
      <c r="AS66" s="205">
        <f>SUM(AS67:AS145)</f>
        <v>0</v>
      </c>
    </row>
    <row r="67" spans="1:45" ht="15" x14ac:dyDescent="0.25">
      <c r="A67" s="232"/>
      <c r="B67" s="102" t="s">
        <v>29</v>
      </c>
      <c r="C67" s="102" t="s">
        <v>28</v>
      </c>
      <c r="D67" s="26">
        <f>E67+F67+G67</f>
        <v>136.06100000000001</v>
      </c>
      <c r="E67" s="26">
        <f t="shared" ref="E67:E81" si="24">J67+N67+R67+V67+Z67+AD67+AI67</f>
        <v>0</v>
      </c>
      <c r="F67" s="26">
        <f t="shared" ref="F67:F81" si="25">K67+O67+S67+W67+AA67+AE67+AJ67</f>
        <v>0</v>
      </c>
      <c r="G67" s="26">
        <f t="shared" ref="G67:G98" si="26">L67+P67+T67+X67+AB67+AF67+AK67+AO67+AS67</f>
        <v>136.06100000000001</v>
      </c>
      <c r="H67" s="26"/>
      <c r="I67" s="791">
        <f>J67+K67+L67</f>
        <v>136.06100000000001</v>
      </c>
      <c r="J67" s="791"/>
      <c r="K67" s="791"/>
      <c r="L67" s="791">
        <f>250-113.939</f>
        <v>136.06100000000001</v>
      </c>
      <c r="M67" s="791"/>
      <c r="N67" s="791"/>
      <c r="O67" s="799"/>
      <c r="P67" s="799"/>
      <c r="Q67" s="802"/>
      <c r="R67" s="802"/>
      <c r="S67" s="791"/>
      <c r="T67" s="791"/>
      <c r="U67" s="791"/>
      <c r="V67" s="791"/>
      <c r="W67" s="791"/>
      <c r="X67" s="791"/>
      <c r="Y67" s="861"/>
      <c r="Z67" s="861"/>
      <c r="AA67" s="861"/>
      <c r="AB67" s="861"/>
      <c r="AC67" s="623"/>
      <c r="AD67" s="623"/>
      <c r="AE67" s="623"/>
      <c r="AF67" s="623"/>
      <c r="AG67" s="623"/>
      <c r="AH67" s="825"/>
      <c r="AI67" s="825"/>
      <c r="AJ67" s="825"/>
      <c r="AK67" s="987"/>
      <c r="AL67" s="913"/>
      <c r="AM67" s="913"/>
      <c r="AN67" s="913"/>
      <c r="AO67" s="913"/>
      <c r="AP67" s="913"/>
      <c r="AQ67" s="913"/>
      <c r="AR67" s="913"/>
      <c r="AS67" s="913"/>
    </row>
    <row r="68" spans="1:45" ht="15" x14ac:dyDescent="0.25">
      <c r="A68" s="232"/>
      <c r="B68" s="102" t="s">
        <v>29</v>
      </c>
      <c r="C68" s="102" t="s">
        <v>31</v>
      </c>
      <c r="D68" s="26">
        <f t="shared" ref="D68:D131" si="27">E68+F68+G68</f>
        <v>107.739</v>
      </c>
      <c r="E68" s="26">
        <f t="shared" si="24"/>
        <v>0</v>
      </c>
      <c r="F68" s="26">
        <f t="shared" si="25"/>
        <v>0</v>
      </c>
      <c r="G68" s="26">
        <f t="shared" si="26"/>
        <v>107.739</v>
      </c>
      <c r="H68" s="26"/>
      <c r="I68" s="791">
        <f>J68+K68+L68</f>
        <v>107.739</v>
      </c>
      <c r="J68" s="791"/>
      <c r="K68" s="791"/>
      <c r="L68" s="791">
        <v>107.739</v>
      </c>
      <c r="M68" s="791"/>
      <c r="N68" s="791"/>
      <c r="O68" s="799"/>
      <c r="P68" s="799"/>
      <c r="Q68" s="802"/>
      <c r="R68" s="802"/>
      <c r="S68" s="791"/>
      <c r="T68" s="791"/>
      <c r="U68" s="791"/>
      <c r="V68" s="791"/>
      <c r="W68" s="791"/>
      <c r="X68" s="791"/>
      <c r="Y68" s="861"/>
      <c r="Z68" s="861"/>
      <c r="AA68" s="861"/>
      <c r="AB68" s="861"/>
      <c r="AC68" s="928">
        <f t="shared" ref="AC68:AC84" si="28">AD68+AE68+AF68</f>
        <v>0</v>
      </c>
      <c r="AD68" s="623"/>
      <c r="AE68" s="623"/>
      <c r="AF68" s="623"/>
      <c r="AG68" s="623"/>
      <c r="AH68" s="825"/>
      <c r="AI68" s="825"/>
      <c r="AJ68" s="825"/>
      <c r="AK68" s="987"/>
      <c r="AL68" s="913"/>
      <c r="AM68" s="913"/>
      <c r="AN68" s="913"/>
      <c r="AO68" s="913"/>
      <c r="AP68" s="913"/>
      <c r="AQ68" s="913"/>
      <c r="AR68" s="913"/>
      <c r="AS68" s="913"/>
    </row>
    <row r="69" spans="1:45" ht="15" x14ac:dyDescent="0.25">
      <c r="A69" s="232"/>
      <c r="B69" s="102" t="s">
        <v>29</v>
      </c>
      <c r="C69" s="102" t="s">
        <v>68</v>
      </c>
      <c r="D69" s="26">
        <f t="shared" si="27"/>
        <v>136.06100000000001</v>
      </c>
      <c r="E69" s="26">
        <f t="shared" si="24"/>
        <v>0</v>
      </c>
      <c r="F69" s="26">
        <f t="shared" si="25"/>
        <v>0</v>
      </c>
      <c r="G69" s="26">
        <f t="shared" si="26"/>
        <v>136.06100000000001</v>
      </c>
      <c r="H69" s="26"/>
      <c r="I69" s="791">
        <f>J69+K69+L69</f>
        <v>136.06100000000001</v>
      </c>
      <c r="J69" s="791"/>
      <c r="K69" s="791"/>
      <c r="L69" s="791">
        <f>250-113.939</f>
        <v>136.06100000000001</v>
      </c>
      <c r="M69" s="791"/>
      <c r="N69" s="791"/>
      <c r="O69" s="799"/>
      <c r="P69" s="799"/>
      <c r="Q69" s="802"/>
      <c r="R69" s="802"/>
      <c r="S69" s="791"/>
      <c r="T69" s="791"/>
      <c r="U69" s="791"/>
      <c r="V69" s="791"/>
      <c r="W69" s="791"/>
      <c r="X69" s="791"/>
      <c r="Y69" s="861"/>
      <c r="Z69" s="861"/>
      <c r="AA69" s="861"/>
      <c r="AB69" s="861"/>
      <c r="AC69" s="928">
        <f t="shared" si="28"/>
        <v>0</v>
      </c>
      <c r="AD69" s="623"/>
      <c r="AE69" s="623"/>
      <c r="AF69" s="623"/>
      <c r="AG69" s="623"/>
      <c r="AH69" s="825"/>
      <c r="AI69" s="825"/>
      <c r="AJ69" s="825"/>
      <c r="AK69" s="987"/>
      <c r="AL69" s="913"/>
      <c r="AM69" s="913"/>
      <c r="AN69" s="913"/>
      <c r="AO69" s="913"/>
      <c r="AP69" s="913"/>
      <c r="AQ69" s="913"/>
      <c r="AR69" s="913"/>
      <c r="AS69" s="913"/>
    </row>
    <row r="70" spans="1:45" ht="48.75" x14ac:dyDescent="0.25">
      <c r="A70" s="232"/>
      <c r="B70" s="102" t="s">
        <v>125</v>
      </c>
      <c r="C70" s="102" t="s">
        <v>101</v>
      </c>
      <c r="D70" s="24">
        <f t="shared" si="27"/>
        <v>150</v>
      </c>
      <c r="E70" s="24">
        <f t="shared" si="24"/>
        <v>0</v>
      </c>
      <c r="F70" s="24">
        <f t="shared" si="25"/>
        <v>0</v>
      </c>
      <c r="G70" s="26">
        <f t="shared" si="26"/>
        <v>150</v>
      </c>
      <c r="H70" s="24"/>
      <c r="I70" s="791"/>
      <c r="J70" s="791"/>
      <c r="K70" s="791"/>
      <c r="L70" s="791"/>
      <c r="M70" s="791">
        <f>N70+O70+P70</f>
        <v>150</v>
      </c>
      <c r="N70" s="791"/>
      <c r="O70" s="799"/>
      <c r="P70" s="798">
        <v>150</v>
      </c>
      <c r="Q70" s="802"/>
      <c r="R70" s="802"/>
      <c r="S70" s="791"/>
      <c r="T70" s="791"/>
      <c r="U70" s="791"/>
      <c r="V70" s="791"/>
      <c r="W70" s="791"/>
      <c r="X70" s="791"/>
      <c r="Y70" s="861"/>
      <c r="Z70" s="861"/>
      <c r="AA70" s="861"/>
      <c r="AB70" s="861"/>
      <c r="AC70" s="928">
        <f t="shared" si="28"/>
        <v>0</v>
      </c>
      <c r="AD70" s="623"/>
      <c r="AE70" s="623"/>
      <c r="AF70" s="623"/>
      <c r="AG70" s="623"/>
      <c r="AH70" s="825"/>
      <c r="AI70" s="825"/>
      <c r="AJ70" s="825"/>
      <c r="AK70" s="987"/>
      <c r="AL70" s="913"/>
      <c r="AM70" s="913"/>
      <c r="AN70" s="913"/>
      <c r="AO70" s="913"/>
      <c r="AP70" s="913"/>
      <c r="AQ70" s="913"/>
      <c r="AR70" s="913"/>
      <c r="AS70" s="913"/>
    </row>
    <row r="71" spans="1:45" ht="24" customHeight="1" x14ac:dyDescent="0.25">
      <c r="A71" s="232"/>
      <c r="B71" s="102" t="s">
        <v>306</v>
      </c>
      <c r="C71" s="663" t="s">
        <v>307</v>
      </c>
      <c r="D71" s="24">
        <f t="shared" si="27"/>
        <v>35.194000000000003</v>
      </c>
      <c r="E71" s="24">
        <f t="shared" si="24"/>
        <v>0</v>
      </c>
      <c r="F71" s="24">
        <f t="shared" si="25"/>
        <v>35.194000000000003</v>
      </c>
      <c r="G71" s="26">
        <f t="shared" si="26"/>
        <v>0</v>
      </c>
      <c r="H71" s="24"/>
      <c r="I71" s="791"/>
      <c r="J71" s="791"/>
      <c r="K71" s="791"/>
      <c r="L71" s="791"/>
      <c r="M71" s="791">
        <f>N71+O71+P71</f>
        <v>35.194000000000003</v>
      </c>
      <c r="N71" s="791"/>
      <c r="O71" s="799">
        <v>35.194000000000003</v>
      </c>
      <c r="P71" s="798"/>
      <c r="Q71" s="802"/>
      <c r="R71" s="802"/>
      <c r="S71" s="791"/>
      <c r="T71" s="791"/>
      <c r="U71" s="791"/>
      <c r="V71" s="791"/>
      <c r="W71" s="791"/>
      <c r="X71" s="791"/>
      <c r="Y71" s="861"/>
      <c r="Z71" s="861"/>
      <c r="AA71" s="861"/>
      <c r="AB71" s="861"/>
      <c r="AC71" s="928">
        <f t="shared" si="28"/>
        <v>0</v>
      </c>
      <c r="AD71" s="204"/>
      <c r="AE71" s="204"/>
      <c r="AF71" s="204"/>
      <c r="AG71" s="204"/>
      <c r="AH71" s="825"/>
      <c r="AI71" s="825"/>
      <c r="AJ71" s="825"/>
      <c r="AK71" s="987"/>
      <c r="AL71" s="913"/>
      <c r="AM71" s="913"/>
      <c r="AN71" s="913"/>
      <c r="AO71" s="913"/>
      <c r="AP71" s="913"/>
      <c r="AQ71" s="913"/>
      <c r="AR71" s="913"/>
      <c r="AS71" s="913"/>
    </row>
    <row r="72" spans="1:45" ht="15" x14ac:dyDescent="0.25">
      <c r="A72" s="232"/>
      <c r="B72" s="74" t="s">
        <v>679</v>
      </c>
      <c r="C72" s="102" t="s">
        <v>680</v>
      </c>
      <c r="D72" s="24">
        <f t="shared" si="27"/>
        <v>955.6</v>
      </c>
      <c r="E72" s="24">
        <f t="shared" si="24"/>
        <v>0</v>
      </c>
      <c r="F72" s="24">
        <f t="shared" si="25"/>
        <v>0</v>
      </c>
      <c r="G72" s="26">
        <f t="shared" si="26"/>
        <v>955.6</v>
      </c>
      <c r="H72" s="24"/>
      <c r="I72" s="791"/>
      <c r="J72" s="791"/>
      <c r="K72" s="791"/>
      <c r="L72" s="791"/>
      <c r="M72" s="791"/>
      <c r="N72" s="791"/>
      <c r="O72" s="799"/>
      <c r="P72" s="798"/>
      <c r="Q72" s="798">
        <f>R72+S72+T72</f>
        <v>0</v>
      </c>
      <c r="R72" s="798"/>
      <c r="S72" s="791"/>
      <c r="T72" s="791"/>
      <c r="U72" s="791"/>
      <c r="V72" s="791"/>
      <c r="W72" s="791"/>
      <c r="X72" s="791"/>
      <c r="Y72" s="861"/>
      <c r="Z72" s="861"/>
      <c r="AA72" s="861"/>
      <c r="AB72" s="861"/>
      <c r="AC72" s="928">
        <f t="shared" si="28"/>
        <v>955.6</v>
      </c>
      <c r="AD72" s="204"/>
      <c r="AE72" s="204"/>
      <c r="AF72" s="204">
        <v>955.6</v>
      </c>
      <c r="AG72" s="204"/>
      <c r="AH72" s="825"/>
      <c r="AI72" s="825"/>
      <c r="AJ72" s="825"/>
      <c r="AK72" s="987"/>
      <c r="AL72" s="913"/>
      <c r="AM72" s="913"/>
      <c r="AN72" s="913"/>
      <c r="AO72" s="913"/>
      <c r="AP72" s="913"/>
      <c r="AQ72" s="913"/>
      <c r="AR72" s="913"/>
      <c r="AS72" s="913"/>
    </row>
    <row r="73" spans="1:45" ht="15" x14ac:dyDescent="0.25">
      <c r="A73" s="143"/>
      <c r="B73" s="74" t="s">
        <v>35</v>
      </c>
      <c r="C73" s="74" t="s">
        <v>30</v>
      </c>
      <c r="D73" s="24">
        <f t="shared" si="27"/>
        <v>788.1</v>
      </c>
      <c r="E73" s="24">
        <f t="shared" si="24"/>
        <v>0</v>
      </c>
      <c r="F73" s="24">
        <f t="shared" si="25"/>
        <v>0</v>
      </c>
      <c r="G73" s="26">
        <f t="shared" si="26"/>
        <v>788.1</v>
      </c>
      <c r="H73" s="24"/>
      <c r="I73" s="792">
        <f>J73+K73+L73</f>
        <v>788.1</v>
      </c>
      <c r="J73" s="792"/>
      <c r="K73" s="792"/>
      <c r="L73" s="792">
        <v>788.1</v>
      </c>
      <c r="M73" s="792"/>
      <c r="N73" s="792"/>
      <c r="O73" s="803"/>
      <c r="P73" s="796"/>
      <c r="Q73" s="796"/>
      <c r="R73" s="796"/>
      <c r="S73" s="792"/>
      <c r="T73" s="792"/>
      <c r="U73" s="792"/>
      <c r="V73" s="792"/>
      <c r="W73" s="792"/>
      <c r="X73" s="792"/>
      <c r="Y73" s="860"/>
      <c r="Z73" s="860"/>
      <c r="AA73" s="860"/>
      <c r="AB73" s="860"/>
      <c r="AC73" s="928">
        <f t="shared" si="28"/>
        <v>0</v>
      </c>
      <c r="AD73" s="928"/>
      <c r="AE73" s="928"/>
      <c r="AF73" s="928"/>
      <c r="AG73" s="928"/>
      <c r="AH73" s="825"/>
      <c r="AI73" s="825"/>
      <c r="AJ73" s="825"/>
      <c r="AK73" s="987"/>
      <c r="AL73" s="913"/>
      <c r="AM73" s="913"/>
      <c r="AN73" s="913"/>
      <c r="AO73" s="913"/>
      <c r="AP73" s="913"/>
      <c r="AQ73" s="913"/>
      <c r="AR73" s="913"/>
      <c r="AS73" s="913"/>
    </row>
    <row r="74" spans="1:45" ht="39" customHeight="1" x14ac:dyDescent="0.25">
      <c r="A74" s="143"/>
      <c r="B74" s="74" t="s">
        <v>35</v>
      </c>
      <c r="C74" s="74" t="s">
        <v>20</v>
      </c>
      <c r="D74" s="24">
        <f t="shared" si="27"/>
        <v>0</v>
      </c>
      <c r="E74" s="24">
        <f t="shared" si="24"/>
        <v>0</v>
      </c>
      <c r="F74" s="24">
        <f t="shared" si="25"/>
        <v>0</v>
      </c>
      <c r="G74" s="26">
        <f t="shared" si="26"/>
        <v>0</v>
      </c>
      <c r="H74" s="24"/>
      <c r="I74" s="792"/>
      <c r="J74" s="792"/>
      <c r="K74" s="792"/>
      <c r="L74" s="792"/>
      <c r="M74" s="792"/>
      <c r="N74" s="792"/>
      <c r="O74" s="803"/>
      <c r="P74" s="803"/>
      <c r="Q74" s="804"/>
      <c r="R74" s="804"/>
      <c r="S74" s="792"/>
      <c r="T74" s="792"/>
      <c r="U74" s="792"/>
      <c r="V74" s="792"/>
      <c r="W74" s="792"/>
      <c r="X74" s="792"/>
      <c r="Y74" s="860"/>
      <c r="Z74" s="860"/>
      <c r="AA74" s="860"/>
      <c r="AB74" s="860"/>
      <c r="AC74" s="928">
        <f t="shared" si="28"/>
        <v>0</v>
      </c>
      <c r="AD74" s="928"/>
      <c r="AE74" s="928"/>
      <c r="AF74" s="928"/>
      <c r="AG74" s="928"/>
      <c r="AH74" s="825"/>
      <c r="AI74" s="825"/>
      <c r="AJ74" s="825"/>
      <c r="AK74" s="987"/>
      <c r="AL74" s="913"/>
      <c r="AM74" s="913"/>
      <c r="AN74" s="913"/>
      <c r="AO74" s="913"/>
      <c r="AP74" s="913"/>
      <c r="AQ74" s="913"/>
      <c r="AR74" s="913"/>
      <c r="AS74" s="913"/>
    </row>
    <row r="75" spans="1:45" ht="30.6" customHeight="1" x14ac:dyDescent="0.25">
      <c r="A75" s="143"/>
      <c r="B75" s="74" t="s">
        <v>126</v>
      </c>
      <c r="C75" s="74" t="s">
        <v>20</v>
      </c>
      <c r="D75" s="24">
        <f t="shared" si="27"/>
        <v>170</v>
      </c>
      <c r="E75" s="24">
        <f t="shared" si="24"/>
        <v>0</v>
      </c>
      <c r="F75" s="24">
        <f t="shared" si="25"/>
        <v>0</v>
      </c>
      <c r="G75" s="26">
        <f t="shared" si="26"/>
        <v>170</v>
      </c>
      <c r="H75" s="24"/>
      <c r="I75" s="792"/>
      <c r="J75" s="792"/>
      <c r="K75" s="792"/>
      <c r="L75" s="792"/>
      <c r="M75" s="792">
        <f>N75+O75+P75</f>
        <v>170</v>
      </c>
      <c r="N75" s="792"/>
      <c r="O75" s="803"/>
      <c r="P75" s="796">
        <v>170</v>
      </c>
      <c r="Q75" s="804"/>
      <c r="R75" s="804"/>
      <c r="S75" s="792"/>
      <c r="T75" s="792"/>
      <c r="U75" s="792"/>
      <c r="V75" s="792"/>
      <c r="W75" s="792"/>
      <c r="X75" s="792"/>
      <c r="Y75" s="860"/>
      <c r="Z75" s="860"/>
      <c r="AA75" s="860"/>
      <c r="AB75" s="860"/>
      <c r="AC75" s="928">
        <f t="shared" si="28"/>
        <v>0</v>
      </c>
      <c r="AD75" s="354"/>
      <c r="AE75" s="354"/>
      <c r="AF75" s="354"/>
      <c r="AG75" s="354"/>
      <c r="AH75" s="825"/>
      <c r="AI75" s="825"/>
      <c r="AJ75" s="825"/>
      <c r="AK75" s="987"/>
      <c r="AL75" s="913"/>
      <c r="AM75" s="913"/>
      <c r="AN75" s="913"/>
      <c r="AO75" s="913"/>
      <c r="AP75" s="913"/>
      <c r="AQ75" s="913"/>
      <c r="AR75" s="913"/>
      <c r="AS75" s="913"/>
    </row>
    <row r="76" spans="1:45" ht="24.75" x14ac:dyDescent="0.25">
      <c r="A76" s="143"/>
      <c r="B76" s="74" t="s">
        <v>35</v>
      </c>
      <c r="C76" s="74" t="s">
        <v>21</v>
      </c>
      <c r="D76" s="24">
        <f t="shared" si="27"/>
        <v>0</v>
      </c>
      <c r="E76" s="24">
        <f t="shared" si="24"/>
        <v>0</v>
      </c>
      <c r="F76" s="24">
        <f t="shared" si="25"/>
        <v>0</v>
      </c>
      <c r="G76" s="26">
        <f t="shared" si="26"/>
        <v>0</v>
      </c>
      <c r="H76" s="24"/>
      <c r="I76" s="792"/>
      <c r="J76" s="792"/>
      <c r="K76" s="792"/>
      <c r="L76" s="792"/>
      <c r="M76" s="792">
        <f t="shared" ref="M76:M83" si="29">N76+O76+P76</f>
        <v>0</v>
      </c>
      <c r="N76" s="792"/>
      <c r="O76" s="803"/>
      <c r="P76" s="803"/>
      <c r="Q76" s="796">
        <f>R76+S76+T76</f>
        <v>0</v>
      </c>
      <c r="R76" s="796"/>
      <c r="S76" s="792"/>
      <c r="T76" s="792"/>
      <c r="U76" s="792"/>
      <c r="V76" s="792"/>
      <c r="W76" s="792"/>
      <c r="X76" s="792"/>
      <c r="Y76" s="860"/>
      <c r="Z76" s="860"/>
      <c r="AA76" s="860"/>
      <c r="AB76" s="860"/>
      <c r="AC76" s="928">
        <f t="shared" si="28"/>
        <v>0</v>
      </c>
      <c r="AD76" s="354"/>
      <c r="AE76" s="354"/>
      <c r="AF76" s="354"/>
      <c r="AG76" s="354"/>
      <c r="AH76" s="825"/>
      <c r="AI76" s="825"/>
      <c r="AJ76" s="825"/>
      <c r="AK76" s="987"/>
      <c r="AL76" s="913"/>
      <c r="AM76" s="913"/>
      <c r="AN76" s="913"/>
      <c r="AO76" s="913"/>
      <c r="AP76" s="913"/>
      <c r="AQ76" s="913"/>
      <c r="AR76" s="913"/>
      <c r="AS76" s="913"/>
    </row>
    <row r="77" spans="1:45" ht="15" x14ac:dyDescent="0.25">
      <c r="A77" s="143"/>
      <c r="B77" s="74" t="s">
        <v>35</v>
      </c>
      <c r="C77" s="74" t="s">
        <v>19</v>
      </c>
      <c r="D77" s="24">
        <f t="shared" si="27"/>
        <v>735.1</v>
      </c>
      <c r="E77" s="24">
        <f t="shared" si="24"/>
        <v>0</v>
      </c>
      <c r="F77" s="24">
        <f t="shared" si="25"/>
        <v>0</v>
      </c>
      <c r="G77" s="26">
        <f t="shared" si="26"/>
        <v>735.1</v>
      </c>
      <c r="H77" s="24"/>
      <c r="I77" s="792"/>
      <c r="J77" s="792"/>
      <c r="K77" s="792"/>
      <c r="L77" s="792"/>
      <c r="M77" s="792">
        <f t="shared" si="29"/>
        <v>735.1</v>
      </c>
      <c r="N77" s="792"/>
      <c r="O77" s="803"/>
      <c r="P77" s="796">
        <v>735.1</v>
      </c>
      <c r="Q77" s="805"/>
      <c r="R77" s="805"/>
      <c r="S77" s="792"/>
      <c r="T77" s="792"/>
      <c r="U77" s="792"/>
      <c r="V77" s="792"/>
      <c r="W77" s="792"/>
      <c r="X77" s="792"/>
      <c r="Y77" s="860"/>
      <c r="Z77" s="860"/>
      <c r="AA77" s="860"/>
      <c r="AB77" s="860"/>
      <c r="AC77" s="928">
        <f t="shared" si="28"/>
        <v>0</v>
      </c>
      <c r="AD77" s="354"/>
      <c r="AE77" s="354"/>
      <c r="AF77" s="354"/>
      <c r="AG77" s="354"/>
      <c r="AH77" s="825"/>
      <c r="AI77" s="825"/>
      <c r="AJ77" s="825"/>
      <c r="AK77" s="987"/>
      <c r="AL77" s="913"/>
      <c r="AM77" s="913"/>
      <c r="AN77" s="913"/>
      <c r="AO77" s="913"/>
      <c r="AP77" s="913"/>
      <c r="AQ77" s="913"/>
      <c r="AR77" s="913"/>
      <c r="AS77" s="913"/>
    </row>
    <row r="78" spans="1:45" ht="24.75" x14ac:dyDescent="0.25">
      <c r="A78" s="143"/>
      <c r="B78" s="74" t="s">
        <v>112</v>
      </c>
      <c r="C78" s="74" t="s">
        <v>17</v>
      </c>
      <c r="D78" s="24">
        <f t="shared" si="27"/>
        <v>745.73</v>
      </c>
      <c r="E78" s="24">
        <f t="shared" si="24"/>
        <v>0</v>
      </c>
      <c r="F78" s="24">
        <f t="shared" si="25"/>
        <v>0</v>
      </c>
      <c r="G78" s="26">
        <f t="shared" si="26"/>
        <v>745.73</v>
      </c>
      <c r="H78" s="24"/>
      <c r="I78" s="792">
        <f>J78+K78+L78</f>
        <v>745.73</v>
      </c>
      <c r="J78" s="792"/>
      <c r="K78" s="792"/>
      <c r="L78" s="792">
        <v>745.73</v>
      </c>
      <c r="M78" s="792">
        <f t="shared" si="29"/>
        <v>0</v>
      </c>
      <c r="N78" s="792"/>
      <c r="O78" s="803"/>
      <c r="P78" s="803"/>
      <c r="Q78" s="805"/>
      <c r="R78" s="805"/>
      <c r="S78" s="792"/>
      <c r="T78" s="792"/>
      <c r="U78" s="792"/>
      <c r="V78" s="792"/>
      <c r="W78" s="792"/>
      <c r="X78" s="792"/>
      <c r="Y78" s="860"/>
      <c r="Z78" s="860"/>
      <c r="AA78" s="860"/>
      <c r="AB78" s="860"/>
      <c r="AC78" s="928">
        <f t="shared" si="28"/>
        <v>0</v>
      </c>
      <c r="AD78" s="783"/>
      <c r="AE78" s="783"/>
      <c r="AF78" s="783"/>
      <c r="AG78" s="783"/>
      <c r="AH78" s="825"/>
      <c r="AI78" s="825"/>
      <c r="AJ78" s="825"/>
      <c r="AK78" s="987"/>
      <c r="AL78" s="913"/>
      <c r="AM78" s="913"/>
      <c r="AN78" s="913"/>
      <c r="AO78" s="913"/>
      <c r="AP78" s="913"/>
      <c r="AQ78" s="913"/>
      <c r="AR78" s="913"/>
      <c r="AS78" s="913"/>
    </row>
    <row r="79" spans="1:45" ht="48.75" x14ac:dyDescent="0.25">
      <c r="A79" s="143"/>
      <c r="B79" s="74" t="s">
        <v>285</v>
      </c>
      <c r="C79" s="74" t="s">
        <v>641</v>
      </c>
      <c r="D79" s="24">
        <f t="shared" si="27"/>
        <v>1663.6579999999999</v>
      </c>
      <c r="E79" s="24">
        <f t="shared" si="24"/>
        <v>0</v>
      </c>
      <c r="F79" s="24">
        <f t="shared" si="25"/>
        <v>0</v>
      </c>
      <c r="G79" s="26">
        <f t="shared" si="26"/>
        <v>1663.6579999999999</v>
      </c>
      <c r="H79" s="24"/>
      <c r="I79" s="792"/>
      <c r="J79" s="792"/>
      <c r="K79" s="792"/>
      <c r="L79" s="792"/>
      <c r="M79" s="792">
        <f t="shared" si="29"/>
        <v>0</v>
      </c>
      <c r="N79" s="792"/>
      <c r="O79" s="803"/>
      <c r="P79" s="803"/>
      <c r="Q79" s="796">
        <f>R79+S79+T79</f>
        <v>0</v>
      </c>
      <c r="R79" s="796"/>
      <c r="S79" s="792"/>
      <c r="T79" s="792"/>
      <c r="U79" s="792">
        <f>V79+W79+X79</f>
        <v>386.404</v>
      </c>
      <c r="V79" s="792"/>
      <c r="W79" s="792"/>
      <c r="X79" s="792">
        <v>386.404</v>
      </c>
      <c r="Y79" s="863">
        <f t="shared" ref="Y79:Y88" si="30">Z79+AA79+AB79</f>
        <v>1277.2539999999999</v>
      </c>
      <c r="Z79" s="1160"/>
      <c r="AA79" s="1160"/>
      <c r="AB79" s="1160">
        <f>1597.3-320.046</f>
        <v>1277.2539999999999</v>
      </c>
      <c r="AC79" s="928">
        <f t="shared" si="28"/>
        <v>0</v>
      </c>
      <c r="AD79" s="783"/>
      <c r="AE79" s="783"/>
      <c r="AF79" s="783"/>
      <c r="AG79" s="783"/>
      <c r="AH79" s="825"/>
      <c r="AI79" s="825"/>
      <c r="AJ79" s="825"/>
      <c r="AK79" s="987"/>
      <c r="AL79" s="913"/>
      <c r="AM79" s="913"/>
      <c r="AN79" s="913"/>
      <c r="AO79" s="913"/>
      <c r="AP79" s="913"/>
      <c r="AQ79" s="913"/>
      <c r="AR79" s="913"/>
      <c r="AS79" s="913"/>
    </row>
    <row r="80" spans="1:45" ht="24.75" x14ac:dyDescent="0.25">
      <c r="A80" s="143"/>
      <c r="B80" s="74" t="s">
        <v>40</v>
      </c>
      <c r="C80" s="74" t="s">
        <v>37</v>
      </c>
      <c r="D80" s="24">
        <f t="shared" si="27"/>
        <v>0</v>
      </c>
      <c r="E80" s="24">
        <f t="shared" si="24"/>
        <v>0</v>
      </c>
      <c r="F80" s="24">
        <f t="shared" si="25"/>
        <v>0</v>
      </c>
      <c r="G80" s="26">
        <f t="shared" si="26"/>
        <v>0</v>
      </c>
      <c r="H80" s="24"/>
      <c r="I80" s="792"/>
      <c r="J80" s="792"/>
      <c r="K80" s="792"/>
      <c r="L80" s="792"/>
      <c r="M80" s="792">
        <f t="shared" si="29"/>
        <v>0</v>
      </c>
      <c r="N80" s="792"/>
      <c r="O80" s="803"/>
      <c r="P80" s="803"/>
      <c r="Q80" s="796">
        <f>R80+S80+T80</f>
        <v>0</v>
      </c>
      <c r="R80" s="796"/>
      <c r="S80" s="792"/>
      <c r="T80" s="792"/>
      <c r="U80" s="792"/>
      <c r="V80" s="792"/>
      <c r="W80" s="792"/>
      <c r="X80" s="792"/>
      <c r="Y80" s="861">
        <f t="shared" si="30"/>
        <v>0</v>
      </c>
      <c r="Z80" s="860"/>
      <c r="AA80" s="860"/>
      <c r="AB80" s="860"/>
      <c r="AC80" s="928">
        <f t="shared" si="28"/>
        <v>0</v>
      </c>
      <c r="AD80" s="928"/>
      <c r="AE80" s="928"/>
      <c r="AF80" s="928"/>
      <c r="AG80" s="928"/>
      <c r="AH80" s="928"/>
      <c r="AI80" s="928"/>
      <c r="AJ80" s="928"/>
      <c r="AK80" s="992"/>
      <c r="AL80" s="928"/>
      <c r="AM80" s="928"/>
      <c r="AN80" s="928"/>
      <c r="AO80" s="928"/>
      <c r="AP80" s="928"/>
      <c r="AQ80" s="928"/>
      <c r="AR80" s="928"/>
      <c r="AS80" s="928"/>
    </row>
    <row r="81" spans="1:45" ht="24.75" x14ac:dyDescent="0.25">
      <c r="A81" s="143"/>
      <c r="B81" s="74" t="s">
        <v>33</v>
      </c>
      <c r="C81" s="74" t="s">
        <v>32</v>
      </c>
      <c r="D81" s="24">
        <f t="shared" si="27"/>
        <v>564.79999999999995</v>
      </c>
      <c r="E81" s="24">
        <f t="shared" si="24"/>
        <v>0</v>
      </c>
      <c r="F81" s="24">
        <f t="shared" si="25"/>
        <v>0</v>
      </c>
      <c r="G81" s="26">
        <f t="shared" si="26"/>
        <v>564.79999999999995</v>
      </c>
      <c r="H81" s="24"/>
      <c r="I81" s="792">
        <f>J81+K81+L81</f>
        <v>564.79999999999995</v>
      </c>
      <c r="J81" s="792"/>
      <c r="K81" s="792"/>
      <c r="L81" s="792">
        <v>564.79999999999995</v>
      </c>
      <c r="M81" s="792">
        <f t="shared" si="29"/>
        <v>0</v>
      </c>
      <c r="N81" s="792"/>
      <c r="O81" s="803"/>
      <c r="P81" s="803"/>
      <c r="Q81" s="804"/>
      <c r="R81" s="804"/>
      <c r="S81" s="792"/>
      <c r="T81" s="792"/>
      <c r="U81" s="792"/>
      <c r="V81" s="792"/>
      <c r="W81" s="792"/>
      <c r="X81" s="792"/>
      <c r="Y81" s="861">
        <f t="shared" si="30"/>
        <v>0</v>
      </c>
      <c r="Z81" s="860"/>
      <c r="AA81" s="860"/>
      <c r="AB81" s="860"/>
      <c r="AC81" s="928">
        <f t="shared" si="28"/>
        <v>0</v>
      </c>
      <c r="AD81" s="928"/>
      <c r="AE81" s="928"/>
      <c r="AF81" s="928"/>
      <c r="AG81" s="928"/>
      <c r="AH81" s="928"/>
      <c r="AI81" s="928"/>
      <c r="AJ81" s="928"/>
      <c r="AK81" s="992"/>
      <c r="AL81" s="928"/>
      <c r="AM81" s="928"/>
      <c r="AN81" s="928"/>
      <c r="AO81" s="928"/>
      <c r="AP81" s="928"/>
      <c r="AQ81" s="928"/>
      <c r="AR81" s="928"/>
      <c r="AS81" s="928"/>
    </row>
    <row r="82" spans="1:45" ht="24.75" x14ac:dyDescent="0.25">
      <c r="A82" s="143"/>
      <c r="B82" s="74" t="s">
        <v>35</v>
      </c>
      <c r="C82" s="74" t="s">
        <v>26</v>
      </c>
      <c r="D82" s="24">
        <f t="shared" si="27"/>
        <v>0</v>
      </c>
      <c r="E82" s="24">
        <f>J82+N82+R82+V82</f>
        <v>0</v>
      </c>
      <c r="F82" s="24">
        <f>K82+O82+S82+W82+AA82+AE82+AJ82</f>
        <v>0</v>
      </c>
      <c r="G82" s="26">
        <f t="shared" si="26"/>
        <v>0</v>
      </c>
      <c r="H82" s="24"/>
      <c r="I82" s="792"/>
      <c r="J82" s="792"/>
      <c r="K82" s="792"/>
      <c r="L82" s="792"/>
      <c r="M82" s="792">
        <f t="shared" si="29"/>
        <v>0</v>
      </c>
      <c r="N82" s="792"/>
      <c r="O82" s="803"/>
      <c r="P82" s="803"/>
      <c r="Q82" s="796">
        <f>R82+S82+T82</f>
        <v>0</v>
      </c>
      <c r="R82" s="805"/>
      <c r="S82" s="792"/>
      <c r="T82" s="792"/>
      <c r="U82" s="792"/>
      <c r="V82" s="792"/>
      <c r="W82" s="792"/>
      <c r="X82" s="792"/>
      <c r="Y82" s="861">
        <f t="shared" si="30"/>
        <v>0</v>
      </c>
      <c r="Z82" s="860"/>
      <c r="AA82" s="860"/>
      <c r="AB82" s="860"/>
      <c r="AC82" s="928">
        <f t="shared" si="28"/>
        <v>0</v>
      </c>
      <c r="AD82" s="928"/>
      <c r="AE82" s="928"/>
      <c r="AF82" s="928"/>
      <c r="AG82" s="928"/>
      <c r="AH82" s="928"/>
      <c r="AI82" s="928"/>
      <c r="AJ82" s="928"/>
      <c r="AK82" s="992"/>
      <c r="AL82" s="928"/>
      <c r="AM82" s="928"/>
      <c r="AN82" s="928"/>
      <c r="AO82" s="928"/>
      <c r="AP82" s="928"/>
      <c r="AQ82" s="928"/>
      <c r="AR82" s="928"/>
      <c r="AS82" s="928"/>
    </row>
    <row r="83" spans="1:45" ht="15" x14ac:dyDescent="0.25">
      <c r="A83" s="143"/>
      <c r="B83" s="74" t="s">
        <v>36</v>
      </c>
      <c r="C83" s="74" t="s">
        <v>45</v>
      </c>
      <c r="D83" s="24">
        <f t="shared" si="27"/>
        <v>152.739</v>
      </c>
      <c r="E83" s="24">
        <f>J83+N83+R83+V83+Z83+AD83+AI83</f>
        <v>0</v>
      </c>
      <c r="F83" s="24">
        <f>K83+O83+S83+W83+AA83+AE83+AJ83</f>
        <v>0</v>
      </c>
      <c r="G83" s="26">
        <f t="shared" si="26"/>
        <v>152.739</v>
      </c>
      <c r="H83" s="24"/>
      <c r="I83" s="792">
        <f>J83+K83+L83</f>
        <v>122.739</v>
      </c>
      <c r="J83" s="792"/>
      <c r="K83" s="792"/>
      <c r="L83" s="792">
        <f>150-27.261</f>
        <v>122.739</v>
      </c>
      <c r="M83" s="792">
        <f t="shared" si="29"/>
        <v>30</v>
      </c>
      <c r="N83" s="792"/>
      <c r="O83" s="803"/>
      <c r="P83" s="796">
        <v>30</v>
      </c>
      <c r="Q83" s="805"/>
      <c r="R83" s="805"/>
      <c r="S83" s="792"/>
      <c r="T83" s="792"/>
      <c r="U83" s="792"/>
      <c r="V83" s="792"/>
      <c r="W83" s="792"/>
      <c r="X83" s="792"/>
      <c r="Y83" s="861">
        <f t="shared" si="30"/>
        <v>0</v>
      </c>
      <c r="Z83" s="860"/>
      <c r="AA83" s="860"/>
      <c r="AB83" s="860"/>
      <c r="AC83" s="928">
        <f t="shared" si="28"/>
        <v>0</v>
      </c>
      <c r="AD83" s="928"/>
      <c r="AE83" s="928"/>
      <c r="AF83" s="928"/>
      <c r="AG83" s="928"/>
      <c r="AH83" s="928"/>
      <c r="AI83" s="928"/>
      <c r="AJ83" s="928"/>
      <c r="AK83" s="992"/>
      <c r="AL83" s="928"/>
      <c r="AM83" s="928"/>
      <c r="AN83" s="928"/>
      <c r="AO83" s="928"/>
      <c r="AP83" s="928"/>
      <c r="AQ83" s="928"/>
      <c r="AR83" s="928"/>
      <c r="AS83" s="928"/>
    </row>
    <row r="84" spans="1:45" ht="15" x14ac:dyDescent="0.25">
      <c r="A84" s="143"/>
      <c r="B84" s="74" t="s">
        <v>42</v>
      </c>
      <c r="C84" s="74" t="s">
        <v>46</v>
      </c>
      <c r="D84" s="24">
        <f t="shared" si="27"/>
        <v>0</v>
      </c>
      <c r="E84" s="24">
        <f>J84+N84+R84+V84+Z84+AD84+AI84</f>
        <v>0</v>
      </c>
      <c r="F84" s="24">
        <f>K84+O84+S84+W84+AA84+AE84+AJ84</f>
        <v>0</v>
      </c>
      <c r="G84" s="26">
        <f t="shared" si="26"/>
        <v>0</v>
      </c>
      <c r="H84" s="24"/>
      <c r="I84" s="792">
        <f>J84+K84+L84</f>
        <v>0</v>
      </c>
      <c r="J84" s="792"/>
      <c r="K84" s="792"/>
      <c r="L84" s="792"/>
      <c r="M84" s="792"/>
      <c r="N84" s="792"/>
      <c r="O84" s="803"/>
      <c r="P84" s="803"/>
      <c r="Q84" s="796">
        <f>R84+S84+T84</f>
        <v>0</v>
      </c>
      <c r="R84" s="796"/>
      <c r="S84" s="792"/>
      <c r="T84" s="792"/>
      <c r="U84" s="792"/>
      <c r="V84" s="792"/>
      <c r="W84" s="792"/>
      <c r="X84" s="792"/>
      <c r="Y84" s="861">
        <f t="shared" si="30"/>
        <v>0</v>
      </c>
      <c r="Z84" s="860"/>
      <c r="AA84" s="860"/>
      <c r="AB84" s="860"/>
      <c r="AC84" s="928">
        <f t="shared" si="28"/>
        <v>0</v>
      </c>
      <c r="AD84" s="928"/>
      <c r="AE84" s="928"/>
      <c r="AF84" s="928"/>
      <c r="AG84" s="928"/>
      <c r="AH84" s="928"/>
      <c r="AI84" s="928"/>
      <c r="AJ84" s="928"/>
      <c r="AK84" s="992"/>
      <c r="AL84" s="928"/>
      <c r="AM84" s="928"/>
      <c r="AN84" s="928"/>
      <c r="AO84" s="928"/>
      <c r="AP84" s="928"/>
      <c r="AQ84" s="928"/>
      <c r="AR84" s="928"/>
      <c r="AS84" s="928"/>
    </row>
    <row r="85" spans="1:45" ht="24.75" x14ac:dyDescent="0.25">
      <c r="A85" s="143"/>
      <c r="B85" s="74" t="s">
        <v>47</v>
      </c>
      <c r="C85" s="74" t="s">
        <v>676</v>
      </c>
      <c r="D85" s="24">
        <f t="shared" si="27"/>
        <v>3393.7179999999998</v>
      </c>
      <c r="E85" s="24">
        <f>J85+N85+R85+V85+Z85+AD85+AI85+AM85</f>
        <v>0</v>
      </c>
      <c r="F85" s="24">
        <f>K85+O85+S85+W85+AA85+AE85+AJ85+AN85</f>
        <v>0</v>
      </c>
      <c r="G85" s="26">
        <f t="shared" si="26"/>
        <v>3393.7179999999998</v>
      </c>
      <c r="H85" s="24"/>
      <c r="I85" s="792">
        <f>J85+K85+L85</f>
        <v>0</v>
      </c>
      <c r="J85" s="792"/>
      <c r="K85" s="792"/>
      <c r="L85" s="792"/>
      <c r="M85" s="792"/>
      <c r="N85" s="792"/>
      <c r="O85" s="803"/>
      <c r="P85" s="803"/>
      <c r="Q85" s="796">
        <f>R85+S85+T85</f>
        <v>0</v>
      </c>
      <c r="R85" s="796"/>
      <c r="S85" s="792"/>
      <c r="T85" s="792"/>
      <c r="U85" s="792"/>
      <c r="V85" s="792"/>
      <c r="W85" s="792"/>
      <c r="X85" s="792"/>
      <c r="Y85" s="861">
        <f t="shared" si="30"/>
        <v>963.24800000000005</v>
      </c>
      <c r="Z85" s="860"/>
      <c r="AA85" s="860"/>
      <c r="AB85" s="860">
        <v>963.24800000000005</v>
      </c>
      <c r="AC85" s="928">
        <f>AD85+AE85+AF85</f>
        <v>2430.4699999999998</v>
      </c>
      <c r="AD85" s="928"/>
      <c r="AE85" s="928"/>
      <c r="AF85" s="928">
        <f>2507.7+530.5-595.5-12.23</f>
        <v>2430.4699999999998</v>
      </c>
      <c r="AG85" s="928"/>
      <c r="AH85" s="928"/>
      <c r="AI85" s="928"/>
      <c r="AJ85" s="928"/>
      <c r="AK85" s="992"/>
      <c r="AL85" s="928"/>
      <c r="AM85" s="928"/>
      <c r="AN85" s="928"/>
      <c r="AO85" s="928"/>
      <c r="AP85" s="928"/>
      <c r="AQ85" s="928"/>
      <c r="AR85" s="928"/>
      <c r="AS85" s="928"/>
    </row>
    <row r="86" spans="1:45" ht="24.75" x14ac:dyDescent="0.25">
      <c r="A86" s="143"/>
      <c r="B86" s="74" t="s">
        <v>47</v>
      </c>
      <c r="C86" s="74" t="s">
        <v>49</v>
      </c>
      <c r="D86" s="24">
        <f t="shared" si="27"/>
        <v>0</v>
      </c>
      <c r="E86" s="24">
        <f t="shared" ref="E86:F88" si="31">J86+N86+R86+V86+Z86+AD86+AI86</f>
        <v>0</v>
      </c>
      <c r="F86" s="24">
        <f t="shared" si="31"/>
        <v>0</v>
      </c>
      <c r="G86" s="26">
        <f t="shared" si="26"/>
        <v>0</v>
      </c>
      <c r="H86" s="24"/>
      <c r="I86" s="792">
        <f t="shared" ref="I86:I98" si="32">J86+K86+L86</f>
        <v>0</v>
      </c>
      <c r="J86" s="792"/>
      <c r="K86" s="792"/>
      <c r="L86" s="792"/>
      <c r="M86" s="792"/>
      <c r="N86" s="792"/>
      <c r="O86" s="803"/>
      <c r="P86" s="803"/>
      <c r="Q86" s="796">
        <f>R86+S86+T86</f>
        <v>0</v>
      </c>
      <c r="R86" s="796"/>
      <c r="S86" s="792"/>
      <c r="T86" s="792"/>
      <c r="U86" s="792"/>
      <c r="V86" s="792"/>
      <c r="W86" s="792"/>
      <c r="X86" s="792"/>
      <c r="Y86" s="861">
        <f t="shared" si="30"/>
        <v>0</v>
      </c>
      <c r="Z86" s="860"/>
      <c r="AA86" s="860"/>
      <c r="AB86" s="860"/>
      <c r="AC86" s="928"/>
      <c r="AD86" s="928"/>
      <c r="AE86" s="928"/>
      <c r="AF86" s="928"/>
      <c r="AG86" s="928"/>
      <c r="AH86" s="928"/>
      <c r="AI86" s="928"/>
      <c r="AJ86" s="928"/>
      <c r="AK86" s="992"/>
      <c r="AL86" s="928"/>
      <c r="AM86" s="928"/>
      <c r="AN86" s="928"/>
      <c r="AO86" s="928"/>
      <c r="AP86" s="928"/>
      <c r="AQ86" s="928"/>
      <c r="AR86" s="928"/>
      <c r="AS86" s="928"/>
    </row>
    <row r="87" spans="1:45" ht="24.75" x14ac:dyDescent="0.25">
      <c r="A87" s="143"/>
      <c r="B87" s="74" t="s">
        <v>129</v>
      </c>
      <c r="C87" s="74" t="s">
        <v>61</v>
      </c>
      <c r="D87" s="24">
        <f t="shared" si="27"/>
        <v>400</v>
      </c>
      <c r="E87" s="24">
        <f t="shared" si="31"/>
        <v>0</v>
      </c>
      <c r="F87" s="24">
        <f t="shared" si="31"/>
        <v>0</v>
      </c>
      <c r="G87" s="26">
        <f t="shared" si="26"/>
        <v>400</v>
      </c>
      <c r="H87" s="24"/>
      <c r="I87" s="792">
        <f t="shared" si="32"/>
        <v>0</v>
      </c>
      <c r="J87" s="792"/>
      <c r="K87" s="792"/>
      <c r="L87" s="792"/>
      <c r="M87" s="792">
        <f t="shared" ref="M87:M93" si="33">N87+O87+P87</f>
        <v>400</v>
      </c>
      <c r="N87" s="792"/>
      <c r="O87" s="803"/>
      <c r="P87" s="796">
        <v>400</v>
      </c>
      <c r="Q87" s="804"/>
      <c r="R87" s="804"/>
      <c r="S87" s="792"/>
      <c r="T87" s="792"/>
      <c r="U87" s="792"/>
      <c r="V87" s="792"/>
      <c r="W87" s="792"/>
      <c r="X87" s="792"/>
      <c r="Y87" s="861">
        <f t="shared" si="30"/>
        <v>0</v>
      </c>
      <c r="Z87" s="860"/>
      <c r="AA87" s="860"/>
      <c r="AB87" s="860"/>
      <c r="AC87" s="928"/>
      <c r="AD87" s="928"/>
      <c r="AE87" s="928"/>
      <c r="AF87" s="928"/>
      <c r="AG87" s="928"/>
      <c r="AH87" s="928"/>
      <c r="AI87" s="928"/>
      <c r="AJ87" s="928"/>
      <c r="AK87" s="992"/>
      <c r="AL87" s="928"/>
      <c r="AM87" s="928"/>
      <c r="AN87" s="928"/>
      <c r="AO87" s="928"/>
      <c r="AP87" s="928"/>
      <c r="AQ87" s="928"/>
      <c r="AR87" s="928"/>
      <c r="AS87" s="928"/>
    </row>
    <row r="88" spans="1:45" ht="24.75" x14ac:dyDescent="0.25">
      <c r="A88" s="143"/>
      <c r="B88" s="74" t="s">
        <v>29</v>
      </c>
      <c r="C88" s="74" t="s">
        <v>70</v>
      </c>
      <c r="D88" s="24">
        <f t="shared" si="27"/>
        <v>180</v>
      </c>
      <c r="E88" s="24">
        <f t="shared" si="31"/>
        <v>0</v>
      </c>
      <c r="F88" s="24">
        <f t="shared" si="31"/>
        <v>0</v>
      </c>
      <c r="G88" s="26">
        <f t="shared" si="26"/>
        <v>180</v>
      </c>
      <c r="H88" s="24"/>
      <c r="I88" s="792"/>
      <c r="J88" s="792"/>
      <c r="K88" s="792"/>
      <c r="L88" s="792"/>
      <c r="M88" s="792">
        <f t="shared" si="33"/>
        <v>180</v>
      </c>
      <c r="N88" s="792"/>
      <c r="O88" s="803"/>
      <c r="P88" s="796">
        <v>180</v>
      </c>
      <c r="Q88" s="804"/>
      <c r="R88" s="804"/>
      <c r="S88" s="792"/>
      <c r="T88" s="792"/>
      <c r="U88" s="792"/>
      <c r="V88" s="792"/>
      <c r="W88" s="792"/>
      <c r="X88" s="792"/>
      <c r="Y88" s="861">
        <f t="shared" si="30"/>
        <v>0</v>
      </c>
      <c r="Z88" s="860"/>
      <c r="AA88" s="860"/>
      <c r="AB88" s="860"/>
      <c r="AC88" s="928"/>
      <c r="AD88" s="928"/>
      <c r="AE88" s="928"/>
      <c r="AF88" s="928"/>
      <c r="AG88" s="928"/>
      <c r="AH88" s="928"/>
      <c r="AI88" s="928"/>
      <c r="AJ88" s="928"/>
      <c r="AK88" s="992"/>
      <c r="AL88" s="928"/>
      <c r="AM88" s="928"/>
      <c r="AN88" s="928"/>
      <c r="AO88" s="928"/>
      <c r="AP88" s="928"/>
      <c r="AQ88" s="928"/>
      <c r="AR88" s="928"/>
      <c r="AS88" s="928"/>
    </row>
    <row r="89" spans="1:45" ht="24.75" x14ac:dyDescent="0.25">
      <c r="A89" s="143"/>
      <c r="B89" s="74" t="s">
        <v>173</v>
      </c>
      <c r="C89" s="74" t="s">
        <v>39</v>
      </c>
      <c r="D89" s="24">
        <f t="shared" si="27"/>
        <v>60</v>
      </c>
      <c r="E89" s="24">
        <f>J89+N89+R89+V89+Z89+AD89+AI89+AM89</f>
        <v>0</v>
      </c>
      <c r="F89" s="24">
        <f>K89+O89+S89+W89+AA89+AE89+AJ89+AN89</f>
        <v>0</v>
      </c>
      <c r="G89" s="26">
        <f t="shared" si="26"/>
        <v>60</v>
      </c>
      <c r="H89" s="24"/>
      <c r="I89" s="792"/>
      <c r="J89" s="792"/>
      <c r="K89" s="792"/>
      <c r="L89" s="792"/>
      <c r="M89" s="792">
        <f t="shared" si="33"/>
        <v>60</v>
      </c>
      <c r="N89" s="792"/>
      <c r="O89" s="803"/>
      <c r="P89" s="796">
        <v>60</v>
      </c>
      <c r="Q89" s="804"/>
      <c r="R89" s="804"/>
      <c r="S89" s="792"/>
      <c r="T89" s="792"/>
      <c r="U89" s="792"/>
      <c r="V89" s="792"/>
      <c r="W89" s="792"/>
      <c r="X89" s="792"/>
      <c r="Y89" s="861">
        <f>Z89+AA89+AB89</f>
        <v>0</v>
      </c>
      <c r="Z89" s="860"/>
      <c r="AA89" s="860"/>
      <c r="AB89" s="860"/>
      <c r="AC89" s="928"/>
      <c r="AD89" s="928"/>
      <c r="AE89" s="928"/>
      <c r="AF89" s="928"/>
      <c r="AG89" s="928"/>
      <c r="AH89" s="928"/>
      <c r="AI89" s="928"/>
      <c r="AJ89" s="928"/>
      <c r="AK89" s="992"/>
      <c r="AL89" s="928"/>
      <c r="AM89" s="928"/>
      <c r="AN89" s="928"/>
      <c r="AO89" s="928"/>
      <c r="AP89" s="928"/>
      <c r="AQ89" s="928"/>
      <c r="AR89" s="928"/>
      <c r="AS89" s="928"/>
    </row>
    <row r="90" spans="1:45" ht="36.75" x14ac:dyDescent="0.25">
      <c r="A90" s="143"/>
      <c r="B90" s="918" t="s">
        <v>177</v>
      </c>
      <c r="C90" s="68" t="s">
        <v>642</v>
      </c>
      <c r="D90" s="24">
        <f t="shared" si="27"/>
        <v>126.21111000000001</v>
      </c>
      <c r="E90" s="24">
        <f>J90+N90+R90+V90+Z90+AD90+AI90+AM90</f>
        <v>0</v>
      </c>
      <c r="F90" s="24">
        <f>K90+O90+S90+W90+AA90+AE90+AJ90+AN90</f>
        <v>0</v>
      </c>
      <c r="G90" s="26">
        <f t="shared" si="26"/>
        <v>126.21111000000001</v>
      </c>
      <c r="H90" s="24"/>
      <c r="I90" s="792"/>
      <c r="J90" s="792"/>
      <c r="K90" s="792"/>
      <c r="L90" s="792"/>
      <c r="M90" s="792">
        <f>N90+O90+P90</f>
        <v>26.3</v>
      </c>
      <c r="N90" s="792"/>
      <c r="O90" s="803"/>
      <c r="P90" s="796">
        <v>26.3</v>
      </c>
      <c r="Q90" s="804"/>
      <c r="R90" s="804"/>
      <c r="S90" s="792"/>
      <c r="T90" s="792"/>
      <c r="U90" s="792"/>
      <c r="V90" s="792"/>
      <c r="W90" s="792"/>
      <c r="X90" s="792"/>
      <c r="Y90" s="863">
        <f>Z90+AA90+AB90</f>
        <v>99.911110000000008</v>
      </c>
      <c r="Z90" s="860"/>
      <c r="AA90" s="860"/>
      <c r="AB90" s="1160">
        <f>118.25-18.33889</f>
        <v>99.911110000000008</v>
      </c>
      <c r="AC90" s="928"/>
      <c r="AD90" s="928"/>
      <c r="AE90" s="928"/>
      <c r="AF90" s="928"/>
      <c r="AG90" s="928"/>
      <c r="AH90" s="928"/>
      <c r="AI90" s="928"/>
      <c r="AJ90" s="928"/>
      <c r="AK90" s="992"/>
      <c r="AL90" s="928"/>
      <c r="AM90" s="928"/>
      <c r="AN90" s="928"/>
      <c r="AO90" s="928"/>
      <c r="AP90" s="928"/>
      <c r="AQ90" s="928"/>
      <c r="AR90" s="928"/>
      <c r="AS90" s="928"/>
    </row>
    <row r="91" spans="1:45" ht="36.75" x14ac:dyDescent="0.25">
      <c r="A91" s="143"/>
      <c r="B91" s="74" t="s">
        <v>175</v>
      </c>
      <c r="C91" s="74" t="s">
        <v>610</v>
      </c>
      <c r="D91" s="24">
        <f t="shared" si="27"/>
        <v>372.97</v>
      </c>
      <c r="E91" s="24">
        <f>J91+N91+R91+V91+Z91+AD91+AI91</f>
        <v>0</v>
      </c>
      <c r="F91" s="24">
        <f t="shared" ref="F91:F98" si="34">K91+O91+S91+W91+AA91+AE91+AJ91+AN91</f>
        <v>0</v>
      </c>
      <c r="G91" s="26">
        <f t="shared" si="26"/>
        <v>372.97</v>
      </c>
      <c r="H91" s="24"/>
      <c r="I91" s="792"/>
      <c r="J91" s="792"/>
      <c r="K91" s="792"/>
      <c r="L91" s="792"/>
      <c r="M91" s="792">
        <f t="shared" si="33"/>
        <v>75.3</v>
      </c>
      <c r="N91" s="792"/>
      <c r="O91" s="803"/>
      <c r="P91" s="796">
        <v>75.3</v>
      </c>
      <c r="Q91" s="804"/>
      <c r="R91" s="804"/>
      <c r="S91" s="792"/>
      <c r="T91" s="792"/>
      <c r="U91" s="798">
        <f>V91+W91+X91</f>
        <v>297.67</v>
      </c>
      <c r="V91" s="792"/>
      <c r="W91" s="792"/>
      <c r="X91" s="792">
        <v>297.67</v>
      </c>
      <c r="Y91" s="863">
        <f>Z91+AA91+AB91</f>
        <v>0</v>
      </c>
      <c r="Z91" s="860"/>
      <c r="AA91" s="860"/>
      <c r="AB91" s="860"/>
      <c r="AC91" s="928"/>
      <c r="AD91" s="928"/>
      <c r="AE91" s="928"/>
      <c r="AF91" s="928"/>
      <c r="AG91" s="928"/>
      <c r="AH91" s="928"/>
      <c r="AI91" s="928"/>
      <c r="AJ91" s="928"/>
      <c r="AK91" s="992"/>
      <c r="AL91" s="928"/>
      <c r="AM91" s="928"/>
      <c r="AN91" s="928"/>
      <c r="AO91" s="928"/>
      <c r="AP91" s="928"/>
      <c r="AQ91" s="928"/>
      <c r="AR91" s="928"/>
      <c r="AS91" s="928"/>
    </row>
    <row r="92" spans="1:45" ht="24.75" x14ac:dyDescent="0.25">
      <c r="A92" s="143"/>
      <c r="B92" s="1028" t="s">
        <v>48</v>
      </c>
      <c r="C92" s="102" t="s">
        <v>44</v>
      </c>
      <c r="D92" s="26">
        <f t="shared" si="27"/>
        <v>15705.011839999999</v>
      </c>
      <c r="E92" s="24">
        <f t="shared" ref="E92:E98" si="35">J92+N92+R92+V92+Z92+AD92+AI92+AM92</f>
        <v>0</v>
      </c>
      <c r="F92" s="24">
        <f t="shared" si="34"/>
        <v>0</v>
      </c>
      <c r="G92" s="26">
        <f t="shared" si="26"/>
        <v>15705.011839999999</v>
      </c>
      <c r="H92" s="24"/>
      <c r="I92" s="791">
        <f t="shared" si="32"/>
        <v>13.7</v>
      </c>
      <c r="J92" s="791"/>
      <c r="K92" s="791"/>
      <c r="L92" s="791">
        <v>13.7</v>
      </c>
      <c r="M92" s="791">
        <f t="shared" si="33"/>
        <v>341.09</v>
      </c>
      <c r="N92" s="791"/>
      <c r="O92" s="799"/>
      <c r="P92" s="798">
        <v>341.09</v>
      </c>
      <c r="Q92" s="798">
        <f>R92+S92+T92</f>
        <v>654.65845000000002</v>
      </c>
      <c r="R92" s="806"/>
      <c r="S92" s="791"/>
      <c r="T92" s="791">
        <v>654.65845000000002</v>
      </c>
      <c r="U92" s="798">
        <f>V92+W92+X92</f>
        <v>905.29797000000008</v>
      </c>
      <c r="V92" s="791"/>
      <c r="W92" s="792"/>
      <c r="X92" s="792">
        <f>924.73833-19.44036</f>
        <v>905.29797000000008</v>
      </c>
      <c r="Y92" s="863">
        <f>Z92+AA92+AB92</f>
        <v>2386.3654200000001</v>
      </c>
      <c r="Z92" s="861"/>
      <c r="AA92" s="861"/>
      <c r="AB92" s="863">
        <f>843.7+12.79-92.4+668.55742+551.522+25.019+217.177+61.9+98.1</f>
        <v>2386.3654200000001</v>
      </c>
      <c r="AC92" s="928">
        <f>AD92+AE92+AF92</f>
        <v>10834.3</v>
      </c>
      <c r="AD92" s="928"/>
      <c r="AE92" s="928"/>
      <c r="AF92" s="928">
        <v>10834.3</v>
      </c>
      <c r="AG92" s="928"/>
      <c r="AH92" s="749">
        <f t="shared" ref="AH92:AH97" si="36">AI92+AJ92+AK92</f>
        <v>569.6</v>
      </c>
      <c r="AI92" s="928"/>
      <c r="AJ92" s="928"/>
      <c r="AK92" s="992">
        <v>569.6</v>
      </c>
      <c r="AL92" s="622">
        <f t="shared" ref="AL92:AL97" si="37">AM92+AN92+AO92</f>
        <v>0</v>
      </c>
      <c r="AM92" s="928"/>
      <c r="AN92" s="928"/>
      <c r="AO92" s="928"/>
      <c r="AP92" s="622">
        <f t="shared" ref="AP92:AP97" si="38">AQ92+AR92+AS92</f>
        <v>0</v>
      </c>
      <c r="AQ92" s="928"/>
      <c r="AR92" s="928"/>
      <c r="AS92" s="928"/>
    </row>
    <row r="93" spans="1:45" ht="24.75" x14ac:dyDescent="0.25">
      <c r="A93" s="143"/>
      <c r="B93" s="94" t="s">
        <v>147</v>
      </c>
      <c r="C93" s="74" t="s">
        <v>148</v>
      </c>
      <c r="D93" s="26">
        <f t="shared" si="27"/>
        <v>32.4</v>
      </c>
      <c r="E93" s="24">
        <f t="shared" si="35"/>
        <v>0</v>
      </c>
      <c r="F93" s="24">
        <f t="shared" si="34"/>
        <v>0</v>
      </c>
      <c r="G93" s="26">
        <f t="shared" si="26"/>
        <v>32.4</v>
      </c>
      <c r="H93" s="24"/>
      <c r="I93" s="792">
        <f t="shared" si="32"/>
        <v>0</v>
      </c>
      <c r="J93" s="792"/>
      <c r="K93" s="792"/>
      <c r="L93" s="792"/>
      <c r="M93" s="792">
        <f t="shared" si="33"/>
        <v>32.4</v>
      </c>
      <c r="N93" s="792"/>
      <c r="O93" s="803"/>
      <c r="P93" s="796">
        <v>32.4</v>
      </c>
      <c r="Q93" s="805"/>
      <c r="R93" s="805"/>
      <c r="S93" s="792"/>
      <c r="T93" s="792"/>
      <c r="U93" s="792"/>
      <c r="V93" s="792"/>
      <c r="W93" s="792"/>
      <c r="X93" s="792"/>
      <c r="Y93" s="1160"/>
      <c r="Z93" s="860"/>
      <c r="AA93" s="860"/>
      <c r="AB93" s="860"/>
      <c r="AC93" s="928"/>
      <c r="AD93" s="928"/>
      <c r="AE93" s="928"/>
      <c r="AF93" s="50"/>
      <c r="AG93" s="928"/>
      <c r="AH93" s="825">
        <f t="shared" si="36"/>
        <v>0</v>
      </c>
      <c r="AI93" s="928"/>
      <c r="AJ93" s="928"/>
      <c r="AK93" s="992"/>
      <c r="AL93" s="913">
        <f t="shared" si="37"/>
        <v>0</v>
      </c>
      <c r="AM93" s="928"/>
      <c r="AN93" s="928"/>
      <c r="AO93" s="928"/>
      <c r="AP93" s="913">
        <f t="shared" si="38"/>
        <v>0</v>
      </c>
      <c r="AQ93" s="928"/>
      <c r="AR93" s="928"/>
      <c r="AS93" s="928"/>
    </row>
    <row r="94" spans="1:45" ht="48.75" x14ac:dyDescent="0.25">
      <c r="A94" s="143"/>
      <c r="B94" s="94" t="s">
        <v>75</v>
      </c>
      <c r="C94" s="74" t="s">
        <v>32</v>
      </c>
      <c r="D94" s="26">
        <f t="shared" si="27"/>
        <v>152.6</v>
      </c>
      <c r="E94" s="24">
        <f t="shared" si="35"/>
        <v>0</v>
      </c>
      <c r="F94" s="24">
        <f t="shared" si="34"/>
        <v>0</v>
      </c>
      <c r="G94" s="26">
        <f t="shared" si="26"/>
        <v>152.6</v>
      </c>
      <c r="H94" s="24"/>
      <c r="I94" s="792">
        <f t="shared" si="32"/>
        <v>152.6</v>
      </c>
      <c r="J94" s="792"/>
      <c r="K94" s="792"/>
      <c r="L94" s="792">
        <v>152.6</v>
      </c>
      <c r="M94" s="792"/>
      <c r="N94" s="792"/>
      <c r="O94" s="803"/>
      <c r="P94" s="796"/>
      <c r="Q94" s="805"/>
      <c r="R94" s="805"/>
      <c r="S94" s="792"/>
      <c r="T94" s="792"/>
      <c r="U94" s="792"/>
      <c r="V94" s="792"/>
      <c r="W94" s="792"/>
      <c r="X94" s="792"/>
      <c r="Y94" s="860"/>
      <c r="Z94" s="860"/>
      <c r="AA94" s="860"/>
      <c r="AB94" s="860"/>
      <c r="AC94" s="928"/>
      <c r="AD94" s="928"/>
      <c r="AE94" s="928"/>
      <c r="AF94" s="928"/>
      <c r="AG94" s="928"/>
      <c r="AH94" s="825">
        <f t="shared" si="36"/>
        <v>0</v>
      </c>
      <c r="AI94" s="928"/>
      <c r="AJ94" s="928"/>
      <c r="AK94" s="992"/>
      <c r="AL94" s="913">
        <f t="shared" si="37"/>
        <v>0</v>
      </c>
      <c r="AM94" s="928"/>
      <c r="AN94" s="928"/>
      <c r="AO94" s="928"/>
      <c r="AP94" s="913">
        <f t="shared" si="38"/>
        <v>0</v>
      </c>
      <c r="AQ94" s="928"/>
      <c r="AR94" s="928"/>
      <c r="AS94" s="928"/>
    </row>
    <row r="95" spans="1:45" ht="40.9" customHeight="1" x14ac:dyDescent="0.25">
      <c r="A95" s="143"/>
      <c r="B95" s="94" t="s">
        <v>78</v>
      </c>
      <c r="C95" s="74" t="s">
        <v>487</v>
      </c>
      <c r="D95" s="26">
        <f t="shared" si="27"/>
        <v>270.61899</v>
      </c>
      <c r="E95" s="24">
        <f t="shared" si="35"/>
        <v>0</v>
      </c>
      <c r="F95" s="24">
        <f t="shared" si="34"/>
        <v>0</v>
      </c>
      <c r="G95" s="26">
        <f t="shared" si="26"/>
        <v>270.61899</v>
      </c>
      <c r="H95" s="24"/>
      <c r="I95" s="792">
        <f t="shared" si="32"/>
        <v>64</v>
      </c>
      <c r="J95" s="792"/>
      <c r="K95" s="792"/>
      <c r="L95" s="792">
        <v>64</v>
      </c>
      <c r="M95" s="792"/>
      <c r="N95" s="792"/>
      <c r="O95" s="803"/>
      <c r="P95" s="803"/>
      <c r="Q95" s="803">
        <f>R95+S95+T95</f>
        <v>206.61899</v>
      </c>
      <c r="R95" s="804"/>
      <c r="S95" s="792"/>
      <c r="T95" s="792">
        <v>206.61899</v>
      </c>
      <c r="U95" s="792"/>
      <c r="V95" s="792"/>
      <c r="W95" s="792"/>
      <c r="X95" s="792"/>
      <c r="Y95" s="860"/>
      <c r="Z95" s="860"/>
      <c r="AA95" s="860"/>
      <c r="AB95" s="860"/>
      <c r="AC95" s="928"/>
      <c r="AD95" s="928"/>
      <c r="AE95" s="928"/>
      <c r="AF95" s="928"/>
      <c r="AG95" s="928"/>
      <c r="AH95" s="825">
        <f t="shared" si="36"/>
        <v>0</v>
      </c>
      <c r="AI95" s="928"/>
      <c r="AJ95" s="928"/>
      <c r="AK95" s="992"/>
      <c r="AL95" s="913">
        <f t="shared" si="37"/>
        <v>0</v>
      </c>
      <c r="AM95" s="928"/>
      <c r="AN95" s="928"/>
      <c r="AO95" s="928"/>
      <c r="AP95" s="913">
        <f t="shared" si="38"/>
        <v>0</v>
      </c>
      <c r="AQ95" s="928"/>
      <c r="AR95" s="928"/>
      <c r="AS95" s="928"/>
    </row>
    <row r="96" spans="1:45" ht="24.75" x14ac:dyDescent="0.25">
      <c r="A96" s="143"/>
      <c r="B96" s="94" t="s">
        <v>79</v>
      </c>
      <c r="C96" s="74" t="s">
        <v>32</v>
      </c>
      <c r="D96" s="26">
        <f t="shared" si="27"/>
        <v>401.7</v>
      </c>
      <c r="E96" s="24">
        <f t="shared" si="35"/>
        <v>0</v>
      </c>
      <c r="F96" s="24">
        <f t="shared" si="34"/>
        <v>0</v>
      </c>
      <c r="G96" s="26">
        <f t="shared" si="26"/>
        <v>401.7</v>
      </c>
      <c r="H96" s="24"/>
      <c r="I96" s="792">
        <f t="shared" si="32"/>
        <v>401.7</v>
      </c>
      <c r="J96" s="792"/>
      <c r="K96" s="792"/>
      <c r="L96" s="792">
        <v>401.7</v>
      </c>
      <c r="M96" s="792"/>
      <c r="N96" s="792"/>
      <c r="O96" s="803"/>
      <c r="P96" s="803"/>
      <c r="Q96" s="804"/>
      <c r="R96" s="804"/>
      <c r="S96" s="792"/>
      <c r="T96" s="792"/>
      <c r="U96" s="792"/>
      <c r="V96" s="792"/>
      <c r="W96" s="792"/>
      <c r="X96" s="792"/>
      <c r="Y96" s="860"/>
      <c r="Z96" s="860"/>
      <c r="AA96" s="860"/>
      <c r="AB96" s="860"/>
      <c r="AC96" s="928"/>
      <c r="AD96" s="928"/>
      <c r="AE96" s="928"/>
      <c r="AF96" s="928"/>
      <c r="AG96" s="928"/>
      <c r="AH96" s="825">
        <f t="shared" si="36"/>
        <v>0</v>
      </c>
      <c r="AI96" s="928"/>
      <c r="AJ96" s="928"/>
      <c r="AK96" s="992"/>
      <c r="AL96" s="913">
        <f t="shared" si="37"/>
        <v>0</v>
      </c>
      <c r="AM96" s="928"/>
      <c r="AN96" s="928"/>
      <c r="AO96" s="928"/>
      <c r="AP96" s="913">
        <f t="shared" si="38"/>
        <v>0</v>
      </c>
      <c r="AQ96" s="928"/>
      <c r="AR96" s="928"/>
      <c r="AS96" s="928"/>
    </row>
    <row r="97" spans="1:45" ht="36.75" x14ac:dyDescent="0.25">
      <c r="A97" s="143"/>
      <c r="B97" s="94" t="s">
        <v>80</v>
      </c>
      <c r="C97" s="74" t="s">
        <v>81</v>
      </c>
      <c r="D97" s="26">
        <f t="shared" si="27"/>
        <v>70</v>
      </c>
      <c r="E97" s="24">
        <f t="shared" si="35"/>
        <v>0</v>
      </c>
      <c r="F97" s="24">
        <f t="shared" si="34"/>
        <v>0</v>
      </c>
      <c r="G97" s="26">
        <f t="shared" si="26"/>
        <v>70</v>
      </c>
      <c r="H97" s="24"/>
      <c r="I97" s="792">
        <f t="shared" si="32"/>
        <v>70</v>
      </c>
      <c r="J97" s="792"/>
      <c r="K97" s="792"/>
      <c r="L97" s="792">
        <v>70</v>
      </c>
      <c r="M97" s="792"/>
      <c r="N97" s="792"/>
      <c r="O97" s="803"/>
      <c r="P97" s="803"/>
      <c r="Q97" s="804"/>
      <c r="R97" s="804"/>
      <c r="S97" s="792"/>
      <c r="T97" s="792"/>
      <c r="U97" s="792"/>
      <c r="V97" s="792"/>
      <c r="W97" s="792"/>
      <c r="X97" s="792"/>
      <c r="Y97" s="860"/>
      <c r="Z97" s="860"/>
      <c r="AA97" s="860"/>
      <c r="AB97" s="860"/>
      <c r="AC97" s="1014"/>
      <c r="AD97" s="1014"/>
      <c r="AE97" s="1014"/>
      <c r="AF97" s="1014"/>
      <c r="AG97" s="1014"/>
      <c r="AH97" s="825">
        <f t="shared" si="36"/>
        <v>0</v>
      </c>
      <c r="AI97" s="928"/>
      <c r="AJ97" s="928"/>
      <c r="AK97" s="992"/>
      <c r="AL97" s="913">
        <f t="shared" si="37"/>
        <v>0</v>
      </c>
      <c r="AM97" s="928"/>
      <c r="AN97" s="928"/>
      <c r="AO97" s="928"/>
      <c r="AP97" s="913">
        <f t="shared" si="38"/>
        <v>0</v>
      </c>
      <c r="AQ97" s="928"/>
      <c r="AR97" s="928"/>
      <c r="AS97" s="928"/>
    </row>
    <row r="98" spans="1:45" ht="48.75" x14ac:dyDescent="0.25">
      <c r="A98" s="143"/>
      <c r="B98" s="94" t="s">
        <v>85</v>
      </c>
      <c r="C98" s="74" t="s">
        <v>146</v>
      </c>
      <c r="D98" s="26">
        <f t="shared" si="27"/>
        <v>384.40000000000003</v>
      </c>
      <c r="E98" s="24">
        <f t="shared" si="35"/>
        <v>0</v>
      </c>
      <c r="F98" s="24">
        <f t="shared" si="34"/>
        <v>0</v>
      </c>
      <c r="G98" s="26">
        <f t="shared" si="26"/>
        <v>384.40000000000003</v>
      </c>
      <c r="H98" s="24"/>
      <c r="I98" s="792">
        <f t="shared" si="32"/>
        <v>384.40000000000003</v>
      </c>
      <c r="J98" s="792"/>
      <c r="K98" s="792"/>
      <c r="L98" s="792">
        <f>151.3+271.6-38.5</f>
        <v>384.40000000000003</v>
      </c>
      <c r="M98" s="792"/>
      <c r="N98" s="792"/>
      <c r="O98" s="803"/>
      <c r="P98" s="803"/>
      <c r="Q98" s="804"/>
      <c r="R98" s="804"/>
      <c r="S98" s="792"/>
      <c r="T98" s="792"/>
      <c r="U98" s="792"/>
      <c r="V98" s="792"/>
      <c r="W98" s="792"/>
      <c r="X98" s="792"/>
      <c r="Y98" s="860"/>
      <c r="Z98" s="860"/>
      <c r="AA98" s="860"/>
      <c r="AB98" s="860"/>
      <c r="AC98" s="1014">
        <f>AD98+AE98+AF98</f>
        <v>0</v>
      </c>
      <c r="AD98" s="1014"/>
      <c r="AE98" s="1014"/>
      <c r="AF98" s="1029"/>
      <c r="AG98" s="1029"/>
      <c r="AH98" s="825">
        <f>AI98+AJ98+AK98</f>
        <v>0</v>
      </c>
      <c r="AI98" s="825"/>
      <c r="AJ98" s="825"/>
      <c r="AK98" s="1144"/>
      <c r="AL98" s="16">
        <f>AM98+AN98+AO98</f>
        <v>0</v>
      </c>
      <c r="AM98" s="16"/>
      <c r="AN98" s="16"/>
      <c r="AO98" s="16"/>
      <c r="AP98" s="16">
        <f>AQ98+AR98+AS98</f>
        <v>0</v>
      </c>
      <c r="AQ98" s="16"/>
      <c r="AR98" s="16"/>
      <c r="AS98" s="16"/>
    </row>
    <row r="99" spans="1:45" ht="36.75" x14ac:dyDescent="0.25">
      <c r="A99" s="143"/>
      <c r="B99" s="94" t="s">
        <v>167</v>
      </c>
      <c r="C99" s="74" t="s">
        <v>37</v>
      </c>
      <c r="D99" s="26">
        <f t="shared" si="27"/>
        <v>57</v>
      </c>
      <c r="E99" s="24">
        <f t="shared" ref="E99:E121" si="39">J99+N99+R99+V99+Z99+AD99+AI99</f>
        <v>0</v>
      </c>
      <c r="F99" s="24">
        <f t="shared" ref="F99:F121" si="40">K99+O99+S99+W99+AA99+AE99+AJ99</f>
        <v>0</v>
      </c>
      <c r="G99" s="26">
        <f t="shared" ref="G99:G130" si="41">L99+P99+T99+X99+AB99+AF99+AK99+AO99+AS99</f>
        <v>57</v>
      </c>
      <c r="H99" s="24"/>
      <c r="I99" s="792"/>
      <c r="J99" s="792"/>
      <c r="K99" s="792"/>
      <c r="L99" s="792"/>
      <c r="M99" s="792">
        <f>N99+O99+P99</f>
        <v>57</v>
      </c>
      <c r="N99" s="792"/>
      <c r="O99" s="803"/>
      <c r="P99" s="796">
        <v>57</v>
      </c>
      <c r="Q99" s="804"/>
      <c r="R99" s="804"/>
      <c r="S99" s="792"/>
      <c r="T99" s="792"/>
      <c r="U99" s="792"/>
      <c r="V99" s="792"/>
      <c r="W99" s="792"/>
      <c r="X99" s="792"/>
      <c r="Y99" s="860"/>
      <c r="Z99" s="860"/>
      <c r="AA99" s="860"/>
      <c r="AB99" s="860"/>
      <c r="AC99" s="1014"/>
      <c r="AD99" s="1014"/>
      <c r="AE99" s="1014"/>
      <c r="AF99" s="1014"/>
      <c r="AG99" s="1014"/>
      <c r="AH99" s="825"/>
      <c r="AI99" s="825"/>
      <c r="AJ99" s="825"/>
      <c r="AK99" s="987"/>
      <c r="AL99" s="913"/>
      <c r="AM99" s="913"/>
      <c r="AN99" s="913"/>
      <c r="AO99" s="913"/>
      <c r="AP99" s="913"/>
      <c r="AQ99" s="913"/>
      <c r="AR99" s="913"/>
      <c r="AS99" s="913"/>
    </row>
    <row r="100" spans="1:45" ht="60.75" x14ac:dyDescent="0.25">
      <c r="A100" s="143"/>
      <c r="B100" s="94" t="s">
        <v>172</v>
      </c>
      <c r="C100" s="74" t="s">
        <v>37</v>
      </c>
      <c r="D100" s="26">
        <f t="shared" si="27"/>
        <v>30</v>
      </c>
      <c r="E100" s="24">
        <f t="shared" si="39"/>
        <v>0</v>
      </c>
      <c r="F100" s="24">
        <f t="shared" si="40"/>
        <v>0</v>
      </c>
      <c r="G100" s="26">
        <f t="shared" si="41"/>
        <v>30</v>
      </c>
      <c r="H100" s="24"/>
      <c r="I100" s="792"/>
      <c r="J100" s="792"/>
      <c r="K100" s="792"/>
      <c r="L100" s="792"/>
      <c r="M100" s="792">
        <f>N100+O100+P100</f>
        <v>30</v>
      </c>
      <c r="N100" s="792"/>
      <c r="O100" s="803"/>
      <c r="P100" s="796">
        <v>30</v>
      </c>
      <c r="Q100" s="804"/>
      <c r="R100" s="804"/>
      <c r="S100" s="792"/>
      <c r="T100" s="792"/>
      <c r="U100" s="792"/>
      <c r="V100" s="792"/>
      <c r="W100" s="792"/>
      <c r="X100" s="792"/>
      <c r="Y100" s="860"/>
      <c r="Z100" s="860"/>
      <c r="AA100" s="860"/>
      <c r="AB100" s="860"/>
      <c r="AC100" s="1014"/>
      <c r="AD100" s="1014"/>
      <c r="AE100" s="1014"/>
      <c r="AF100" s="1014"/>
      <c r="AG100" s="1014"/>
      <c r="AH100" s="825"/>
      <c r="AI100" s="825"/>
      <c r="AJ100" s="825"/>
      <c r="AK100" s="987"/>
      <c r="AL100" s="913"/>
      <c r="AM100" s="913"/>
      <c r="AN100" s="913"/>
      <c r="AO100" s="913"/>
      <c r="AP100" s="913"/>
      <c r="AQ100" s="913"/>
      <c r="AR100" s="913"/>
      <c r="AS100" s="913"/>
    </row>
    <row r="101" spans="1:45" ht="42" customHeight="1" x14ac:dyDescent="0.25">
      <c r="A101" s="143"/>
      <c r="B101" s="94" t="s">
        <v>171</v>
      </c>
      <c r="C101" s="74" t="s">
        <v>34</v>
      </c>
      <c r="D101" s="26">
        <f t="shared" si="27"/>
        <v>15</v>
      </c>
      <c r="E101" s="24">
        <f t="shared" si="39"/>
        <v>0</v>
      </c>
      <c r="F101" s="24">
        <f t="shared" si="40"/>
        <v>0</v>
      </c>
      <c r="G101" s="26">
        <f t="shared" si="41"/>
        <v>15</v>
      </c>
      <c r="H101" s="24"/>
      <c r="I101" s="792"/>
      <c r="J101" s="792"/>
      <c r="K101" s="792"/>
      <c r="L101" s="792"/>
      <c r="M101" s="792">
        <f>N101+O101+P101</f>
        <v>15</v>
      </c>
      <c r="N101" s="792"/>
      <c r="O101" s="803"/>
      <c r="P101" s="796">
        <v>15</v>
      </c>
      <c r="Q101" s="803"/>
      <c r="R101" s="803"/>
      <c r="S101" s="792"/>
      <c r="T101" s="792"/>
      <c r="U101" s="792"/>
      <c r="V101" s="792"/>
      <c r="W101" s="792"/>
      <c r="X101" s="792"/>
      <c r="Y101" s="860"/>
      <c r="Z101" s="860"/>
      <c r="AA101" s="860"/>
      <c r="AB101" s="860"/>
      <c r="AC101" s="1014"/>
      <c r="AD101" s="1014"/>
      <c r="AE101" s="1014"/>
      <c r="AF101" s="1014"/>
      <c r="AG101" s="1014"/>
      <c r="AH101" s="825"/>
      <c r="AI101" s="825"/>
      <c r="AJ101" s="825"/>
      <c r="AK101" s="987"/>
      <c r="AL101" s="913"/>
      <c r="AM101" s="913"/>
      <c r="AN101" s="913"/>
      <c r="AO101" s="913"/>
      <c r="AP101" s="913"/>
      <c r="AQ101" s="913"/>
      <c r="AR101" s="913"/>
      <c r="AS101" s="913"/>
    </row>
    <row r="102" spans="1:45" ht="41.45" customHeight="1" x14ac:dyDescent="0.25">
      <c r="A102" s="143"/>
      <c r="B102" s="94" t="s">
        <v>161</v>
      </c>
      <c r="C102" s="74" t="s">
        <v>37</v>
      </c>
      <c r="D102" s="26">
        <f t="shared" si="27"/>
        <v>60</v>
      </c>
      <c r="E102" s="24">
        <f t="shared" si="39"/>
        <v>0</v>
      </c>
      <c r="F102" s="24">
        <f t="shared" si="40"/>
        <v>0</v>
      </c>
      <c r="G102" s="26">
        <f t="shared" si="41"/>
        <v>60</v>
      </c>
      <c r="H102" s="24"/>
      <c r="I102" s="792"/>
      <c r="J102" s="792"/>
      <c r="K102" s="792"/>
      <c r="L102" s="792"/>
      <c r="M102" s="792">
        <f>N102+O102+P102</f>
        <v>60</v>
      </c>
      <c r="N102" s="792"/>
      <c r="O102" s="803"/>
      <c r="P102" s="796">
        <v>60</v>
      </c>
      <c r="Q102" s="803"/>
      <c r="R102" s="803"/>
      <c r="S102" s="792"/>
      <c r="T102" s="792"/>
      <c r="U102" s="792"/>
      <c r="V102" s="792"/>
      <c r="W102" s="792"/>
      <c r="X102" s="792"/>
      <c r="Y102" s="860"/>
      <c r="Z102" s="860"/>
      <c r="AA102" s="860"/>
      <c r="AB102" s="860"/>
      <c r="AC102" s="783"/>
      <c r="AD102" s="783"/>
      <c r="AE102" s="783"/>
      <c r="AF102" s="783"/>
      <c r="AG102" s="783"/>
      <c r="AH102" s="825"/>
      <c r="AI102" s="825"/>
      <c r="AJ102" s="825"/>
      <c r="AK102" s="987"/>
      <c r="AL102" s="913"/>
      <c r="AM102" s="913"/>
      <c r="AN102" s="913"/>
      <c r="AO102" s="913"/>
      <c r="AP102" s="913"/>
      <c r="AQ102" s="913"/>
      <c r="AR102" s="913"/>
      <c r="AS102" s="913"/>
    </row>
    <row r="103" spans="1:45" ht="44.45" customHeight="1" x14ac:dyDescent="0.25">
      <c r="A103" s="143"/>
      <c r="B103" s="94" t="s">
        <v>157</v>
      </c>
      <c r="C103" s="89" t="s">
        <v>158</v>
      </c>
      <c r="D103" s="26">
        <f t="shared" si="27"/>
        <v>20</v>
      </c>
      <c r="E103" s="24">
        <f t="shared" si="39"/>
        <v>0</v>
      </c>
      <c r="F103" s="24">
        <f t="shared" si="40"/>
        <v>0</v>
      </c>
      <c r="G103" s="26">
        <f t="shared" si="41"/>
        <v>20</v>
      </c>
      <c r="H103" s="24"/>
      <c r="I103" s="792"/>
      <c r="J103" s="792"/>
      <c r="K103" s="792"/>
      <c r="L103" s="792"/>
      <c r="M103" s="792">
        <f>N103+O103+P103</f>
        <v>20</v>
      </c>
      <c r="N103" s="792"/>
      <c r="O103" s="803"/>
      <c r="P103" s="796">
        <v>20</v>
      </c>
      <c r="Q103" s="803"/>
      <c r="R103" s="803"/>
      <c r="S103" s="792"/>
      <c r="T103" s="792"/>
      <c r="U103" s="792"/>
      <c r="V103" s="792"/>
      <c r="W103" s="792"/>
      <c r="X103" s="792"/>
      <c r="Y103" s="860"/>
      <c r="Z103" s="860"/>
      <c r="AA103" s="860"/>
      <c r="AB103" s="860"/>
      <c r="AC103" s="783"/>
      <c r="AD103" s="783"/>
      <c r="AE103" s="783"/>
      <c r="AF103" s="783"/>
      <c r="AG103" s="783"/>
      <c r="AH103" s="825"/>
      <c r="AI103" s="825"/>
      <c r="AJ103" s="825"/>
      <c r="AK103" s="987"/>
      <c r="AL103" s="913"/>
      <c r="AM103" s="913"/>
      <c r="AN103" s="913"/>
      <c r="AO103" s="913"/>
      <c r="AP103" s="913"/>
      <c r="AQ103" s="913"/>
      <c r="AR103" s="913"/>
      <c r="AS103" s="913"/>
    </row>
    <row r="104" spans="1:45" ht="24.75" x14ac:dyDescent="0.25">
      <c r="A104" s="147"/>
      <c r="B104" s="148" t="s">
        <v>104</v>
      </c>
      <c r="C104" s="102" t="s">
        <v>617</v>
      </c>
      <c r="D104" s="26">
        <f t="shared" si="27"/>
        <v>1593.4999999999998</v>
      </c>
      <c r="E104" s="24">
        <f t="shared" si="39"/>
        <v>0</v>
      </c>
      <c r="F104" s="24">
        <f t="shared" si="40"/>
        <v>0</v>
      </c>
      <c r="G104" s="26">
        <f t="shared" si="41"/>
        <v>1593.4999999999998</v>
      </c>
      <c r="H104" s="24"/>
      <c r="I104" s="807"/>
      <c r="J104" s="807"/>
      <c r="K104" s="808"/>
      <c r="L104" s="792"/>
      <c r="M104" s="792"/>
      <c r="N104" s="792"/>
      <c r="O104" s="803"/>
      <c r="P104" s="803"/>
      <c r="Q104" s="796">
        <f>R104+S104+T104</f>
        <v>0</v>
      </c>
      <c r="R104" s="796"/>
      <c r="S104" s="792"/>
      <c r="T104" s="792"/>
      <c r="U104" s="792"/>
      <c r="V104" s="792"/>
      <c r="W104" s="792"/>
      <c r="X104" s="792"/>
      <c r="Y104" s="861">
        <f>Z104+AA104+AB104</f>
        <v>1593.4999999999998</v>
      </c>
      <c r="Z104" s="861"/>
      <c r="AA104" s="861"/>
      <c r="AB104" s="863">
        <f>1918.8-536.1+210.8</f>
        <v>1593.4999999999998</v>
      </c>
      <c r="AC104" s="783"/>
      <c r="AD104" s="783"/>
      <c r="AE104" s="783"/>
      <c r="AF104" s="783"/>
      <c r="AG104" s="783"/>
      <c r="AH104" s="825"/>
      <c r="AI104" s="825"/>
      <c r="AJ104" s="825"/>
      <c r="AK104" s="987"/>
      <c r="AL104" s="913"/>
      <c r="AM104" s="913"/>
      <c r="AN104" s="913"/>
      <c r="AO104" s="913"/>
      <c r="AP104" s="913"/>
      <c r="AQ104" s="913"/>
      <c r="AR104" s="913"/>
      <c r="AS104" s="913"/>
    </row>
    <row r="105" spans="1:45" ht="24.75" x14ac:dyDescent="0.25">
      <c r="A105" s="147"/>
      <c r="B105" s="148" t="s">
        <v>182</v>
      </c>
      <c r="C105" s="102" t="s">
        <v>24</v>
      </c>
      <c r="D105" s="26">
        <f t="shared" si="27"/>
        <v>74</v>
      </c>
      <c r="E105" s="24">
        <f t="shared" si="39"/>
        <v>0</v>
      </c>
      <c r="F105" s="24">
        <f t="shared" si="40"/>
        <v>0</v>
      </c>
      <c r="G105" s="26">
        <f t="shared" si="41"/>
        <v>74</v>
      </c>
      <c r="H105" s="24"/>
      <c r="I105" s="809"/>
      <c r="J105" s="809"/>
      <c r="K105" s="791"/>
      <c r="L105" s="791"/>
      <c r="M105" s="791">
        <f>N105+O105+P105</f>
        <v>74</v>
      </c>
      <c r="N105" s="791"/>
      <c r="O105" s="798"/>
      <c r="P105" s="798">
        <v>74</v>
      </c>
      <c r="Q105" s="798"/>
      <c r="R105" s="798"/>
      <c r="S105" s="791"/>
      <c r="T105" s="792"/>
      <c r="U105" s="792"/>
      <c r="V105" s="792"/>
      <c r="W105" s="792"/>
      <c r="X105" s="792"/>
      <c r="Y105" s="860"/>
      <c r="Z105" s="860"/>
      <c r="AA105" s="860"/>
      <c r="AB105" s="860"/>
      <c r="AC105" s="783"/>
      <c r="AD105" s="783"/>
      <c r="AE105" s="783"/>
      <c r="AF105" s="783"/>
      <c r="AG105" s="783"/>
      <c r="AH105" s="825"/>
      <c r="AI105" s="825"/>
      <c r="AJ105" s="825"/>
      <c r="AK105" s="987"/>
      <c r="AL105" s="913"/>
      <c r="AM105" s="913"/>
      <c r="AN105" s="913"/>
      <c r="AO105" s="913"/>
      <c r="AP105" s="913"/>
      <c r="AQ105" s="913"/>
      <c r="AR105" s="913"/>
      <c r="AS105" s="913"/>
    </row>
    <row r="106" spans="1:45" ht="36.75" x14ac:dyDescent="0.25">
      <c r="A106" s="147"/>
      <c r="B106" s="148" t="s">
        <v>183</v>
      </c>
      <c r="C106" s="102" t="s">
        <v>24</v>
      </c>
      <c r="D106" s="26">
        <f t="shared" si="27"/>
        <v>90.320999999999998</v>
      </c>
      <c r="E106" s="24">
        <f t="shared" si="39"/>
        <v>0</v>
      </c>
      <c r="F106" s="24">
        <f t="shared" si="40"/>
        <v>0</v>
      </c>
      <c r="G106" s="26">
        <f t="shared" si="41"/>
        <v>90.320999999999998</v>
      </c>
      <c r="H106" s="24"/>
      <c r="I106" s="809"/>
      <c r="J106" s="809"/>
      <c r="K106" s="791"/>
      <c r="L106" s="791"/>
      <c r="M106" s="791">
        <f>N106+O106+P106</f>
        <v>90.320999999999998</v>
      </c>
      <c r="N106" s="791"/>
      <c r="O106" s="798"/>
      <c r="P106" s="798">
        <v>90.320999999999998</v>
      </c>
      <c r="Q106" s="798"/>
      <c r="R106" s="798"/>
      <c r="S106" s="791"/>
      <c r="T106" s="792"/>
      <c r="U106" s="792"/>
      <c r="V106" s="792"/>
      <c r="W106" s="792"/>
      <c r="X106" s="792"/>
      <c r="Y106" s="860"/>
      <c r="Z106" s="860"/>
      <c r="AA106" s="860"/>
      <c r="AB106" s="860"/>
      <c r="AC106" s="783"/>
      <c r="AD106" s="783"/>
      <c r="AE106" s="783"/>
      <c r="AF106" s="783"/>
      <c r="AG106" s="783"/>
      <c r="AH106" s="825"/>
      <c r="AI106" s="825"/>
      <c r="AJ106" s="825"/>
      <c r="AK106" s="987"/>
      <c r="AL106" s="913"/>
      <c r="AM106" s="913"/>
      <c r="AN106" s="913"/>
      <c r="AO106" s="913"/>
      <c r="AP106" s="913"/>
      <c r="AQ106" s="913"/>
      <c r="AR106" s="913"/>
      <c r="AS106" s="913"/>
    </row>
    <row r="107" spans="1:45" ht="24.75" x14ac:dyDescent="0.25">
      <c r="A107" s="147"/>
      <c r="B107" s="148" t="s">
        <v>334</v>
      </c>
      <c r="C107" s="102" t="s">
        <v>278</v>
      </c>
      <c r="D107" s="26">
        <f t="shared" si="27"/>
        <v>105</v>
      </c>
      <c r="E107" s="24">
        <f t="shared" si="39"/>
        <v>0</v>
      </c>
      <c r="F107" s="24">
        <f t="shared" si="40"/>
        <v>0</v>
      </c>
      <c r="G107" s="26">
        <f t="shared" si="41"/>
        <v>105</v>
      </c>
      <c r="H107" s="24"/>
      <c r="I107" s="809"/>
      <c r="J107" s="809"/>
      <c r="K107" s="791"/>
      <c r="L107" s="791"/>
      <c r="M107" s="791"/>
      <c r="N107" s="791"/>
      <c r="O107" s="798"/>
      <c r="P107" s="798"/>
      <c r="Q107" s="798">
        <f>R107+S107+T107</f>
        <v>105</v>
      </c>
      <c r="R107" s="798"/>
      <c r="S107" s="791"/>
      <c r="T107" s="792">
        <v>105</v>
      </c>
      <c r="U107" s="792"/>
      <c r="V107" s="792"/>
      <c r="W107" s="792"/>
      <c r="X107" s="792"/>
      <c r="Y107" s="860"/>
      <c r="Z107" s="860"/>
      <c r="AA107" s="860"/>
      <c r="AB107" s="860"/>
      <c r="AC107" s="783"/>
      <c r="AD107" s="783"/>
      <c r="AE107" s="783"/>
      <c r="AF107" s="783"/>
      <c r="AG107" s="783"/>
      <c r="AH107" s="825"/>
      <c r="AI107" s="825"/>
      <c r="AJ107" s="825"/>
      <c r="AK107" s="987"/>
      <c r="AL107" s="913"/>
      <c r="AM107" s="913"/>
      <c r="AN107" s="913"/>
      <c r="AO107" s="913"/>
      <c r="AP107" s="913"/>
      <c r="AQ107" s="913"/>
      <c r="AR107" s="913"/>
      <c r="AS107" s="913"/>
    </row>
    <row r="108" spans="1:45" ht="24.75" x14ac:dyDescent="0.25">
      <c r="A108" s="147"/>
      <c r="B108" s="148" t="s">
        <v>280</v>
      </c>
      <c r="C108" s="102" t="s">
        <v>30</v>
      </c>
      <c r="D108" s="26">
        <f t="shared" si="27"/>
        <v>266.00799999999998</v>
      </c>
      <c r="E108" s="24">
        <f t="shared" si="39"/>
        <v>0</v>
      </c>
      <c r="F108" s="24">
        <f t="shared" si="40"/>
        <v>0</v>
      </c>
      <c r="G108" s="26">
        <f t="shared" si="41"/>
        <v>266.00799999999998</v>
      </c>
      <c r="H108" s="24"/>
      <c r="I108" s="809"/>
      <c r="J108" s="809"/>
      <c r="K108" s="791"/>
      <c r="L108" s="791"/>
      <c r="M108" s="791"/>
      <c r="N108" s="791"/>
      <c r="O108" s="798"/>
      <c r="P108" s="798"/>
      <c r="Q108" s="798">
        <f t="shared" ref="Q108:Q123" si="42">R108+S108+T108</f>
        <v>266.00799999999998</v>
      </c>
      <c r="R108" s="798"/>
      <c r="S108" s="791"/>
      <c r="T108" s="792">
        <v>266.00799999999998</v>
      </c>
      <c r="U108" s="792"/>
      <c r="V108" s="792"/>
      <c r="W108" s="792"/>
      <c r="X108" s="792"/>
      <c r="Y108" s="860"/>
      <c r="Z108" s="860"/>
      <c r="AA108" s="860"/>
      <c r="AB108" s="860"/>
      <c r="AC108" s="783"/>
      <c r="AD108" s="783"/>
      <c r="AE108" s="783"/>
      <c r="AF108" s="783"/>
      <c r="AG108" s="783"/>
      <c r="AH108" s="825"/>
      <c r="AI108" s="825"/>
      <c r="AJ108" s="825"/>
      <c r="AK108" s="987"/>
      <c r="AL108" s="913"/>
      <c r="AM108" s="913"/>
      <c r="AN108" s="913"/>
      <c r="AO108" s="913"/>
      <c r="AP108" s="913"/>
      <c r="AQ108" s="913"/>
      <c r="AR108" s="913"/>
      <c r="AS108" s="913"/>
    </row>
    <row r="109" spans="1:45" ht="24.75" x14ac:dyDescent="0.25">
      <c r="A109" s="232"/>
      <c r="B109" s="148" t="s">
        <v>279</v>
      </c>
      <c r="C109" s="102" t="s">
        <v>22</v>
      </c>
      <c r="D109" s="26">
        <f t="shared" si="27"/>
        <v>555.53399999999999</v>
      </c>
      <c r="E109" s="24">
        <f t="shared" si="39"/>
        <v>0</v>
      </c>
      <c r="F109" s="24">
        <f t="shared" si="40"/>
        <v>0</v>
      </c>
      <c r="G109" s="26">
        <f t="shared" si="41"/>
        <v>555.53399999999999</v>
      </c>
      <c r="H109" s="24"/>
      <c r="I109" s="809"/>
      <c r="J109" s="809"/>
      <c r="K109" s="791"/>
      <c r="L109" s="791"/>
      <c r="M109" s="791"/>
      <c r="N109" s="791"/>
      <c r="O109" s="798"/>
      <c r="P109" s="798"/>
      <c r="Q109" s="798">
        <f t="shared" si="42"/>
        <v>555.53399999999999</v>
      </c>
      <c r="R109" s="798"/>
      <c r="S109" s="791"/>
      <c r="T109" s="791">
        <v>555.53399999999999</v>
      </c>
      <c r="U109" s="792"/>
      <c r="V109" s="792"/>
      <c r="W109" s="792"/>
      <c r="X109" s="792"/>
      <c r="Y109" s="860"/>
      <c r="Z109" s="860"/>
      <c r="AA109" s="860"/>
      <c r="AB109" s="860"/>
      <c r="AC109" s="783"/>
      <c r="AD109" s="783"/>
      <c r="AE109" s="783"/>
      <c r="AF109" s="783"/>
      <c r="AG109" s="783"/>
      <c r="AH109" s="825"/>
      <c r="AI109" s="825"/>
      <c r="AJ109" s="825"/>
      <c r="AK109" s="987"/>
      <c r="AL109" s="913"/>
      <c r="AM109" s="913"/>
      <c r="AN109" s="913"/>
      <c r="AO109" s="913"/>
      <c r="AP109" s="913"/>
      <c r="AQ109" s="913"/>
      <c r="AR109" s="913"/>
      <c r="AS109" s="913"/>
    </row>
    <row r="110" spans="1:45" ht="24.75" x14ac:dyDescent="0.25">
      <c r="A110" s="232"/>
      <c r="B110" s="148" t="s">
        <v>339</v>
      </c>
      <c r="C110" s="102" t="s">
        <v>22</v>
      </c>
      <c r="D110" s="26">
        <f t="shared" si="27"/>
        <v>88.8</v>
      </c>
      <c r="E110" s="24">
        <f t="shared" si="39"/>
        <v>0</v>
      </c>
      <c r="F110" s="24">
        <f t="shared" si="40"/>
        <v>0</v>
      </c>
      <c r="G110" s="26">
        <f t="shared" si="41"/>
        <v>88.8</v>
      </c>
      <c r="H110" s="24"/>
      <c r="I110" s="809"/>
      <c r="J110" s="809"/>
      <c r="K110" s="791"/>
      <c r="L110" s="791"/>
      <c r="M110" s="791"/>
      <c r="N110" s="791"/>
      <c r="O110" s="798"/>
      <c r="P110" s="798"/>
      <c r="Q110" s="798">
        <f t="shared" si="42"/>
        <v>88.8</v>
      </c>
      <c r="R110" s="798"/>
      <c r="S110" s="791"/>
      <c r="T110" s="791">
        <v>88.8</v>
      </c>
      <c r="U110" s="792"/>
      <c r="V110" s="792"/>
      <c r="W110" s="792"/>
      <c r="X110" s="792"/>
      <c r="Y110" s="860"/>
      <c r="Z110" s="860"/>
      <c r="AA110" s="860"/>
      <c r="AB110" s="860"/>
      <c r="AC110" s="783"/>
      <c r="AD110" s="783"/>
      <c r="AE110" s="783"/>
      <c r="AF110" s="783"/>
      <c r="AG110" s="783"/>
      <c r="AH110" s="825"/>
      <c r="AI110" s="825"/>
      <c r="AJ110" s="825"/>
      <c r="AK110" s="987"/>
      <c r="AL110" s="913"/>
      <c r="AM110" s="913"/>
      <c r="AN110" s="913"/>
      <c r="AO110" s="913"/>
      <c r="AP110" s="913"/>
      <c r="AQ110" s="913"/>
      <c r="AR110" s="913"/>
      <c r="AS110" s="913"/>
    </row>
    <row r="111" spans="1:45" ht="36.75" x14ac:dyDescent="0.25">
      <c r="A111" s="232"/>
      <c r="B111" s="68" t="s">
        <v>329</v>
      </c>
      <c r="C111" s="102" t="s">
        <v>24</v>
      </c>
      <c r="D111" s="26">
        <f t="shared" si="27"/>
        <v>100</v>
      </c>
      <c r="E111" s="24">
        <f t="shared" si="39"/>
        <v>0</v>
      </c>
      <c r="F111" s="24">
        <f t="shared" si="40"/>
        <v>0</v>
      </c>
      <c r="G111" s="26">
        <f t="shared" si="41"/>
        <v>100</v>
      </c>
      <c r="H111" s="24"/>
      <c r="I111" s="809"/>
      <c r="J111" s="809"/>
      <c r="K111" s="791"/>
      <c r="L111" s="791"/>
      <c r="M111" s="791"/>
      <c r="N111" s="791"/>
      <c r="O111" s="798"/>
      <c r="P111" s="798"/>
      <c r="Q111" s="798">
        <f t="shared" si="42"/>
        <v>100</v>
      </c>
      <c r="R111" s="798"/>
      <c r="S111" s="791"/>
      <c r="T111" s="791">
        <v>100</v>
      </c>
      <c r="U111" s="792"/>
      <c r="V111" s="792"/>
      <c r="W111" s="792"/>
      <c r="X111" s="792"/>
      <c r="Y111" s="860"/>
      <c r="Z111" s="860"/>
      <c r="AA111" s="860"/>
      <c r="AB111" s="860"/>
      <c r="AC111" s="783"/>
      <c r="AD111" s="783"/>
      <c r="AE111" s="783"/>
      <c r="AF111" s="783"/>
      <c r="AG111" s="783"/>
      <c r="AH111" s="825"/>
      <c r="AI111" s="825"/>
      <c r="AJ111" s="825"/>
      <c r="AK111" s="987"/>
      <c r="AL111" s="913"/>
      <c r="AM111" s="913"/>
      <c r="AN111" s="913"/>
      <c r="AO111" s="913"/>
      <c r="AP111" s="913"/>
      <c r="AQ111" s="913"/>
      <c r="AR111" s="913"/>
      <c r="AS111" s="913"/>
    </row>
    <row r="112" spans="1:45" ht="31.5" customHeight="1" x14ac:dyDescent="0.25">
      <c r="A112" s="232"/>
      <c r="B112" s="71" t="s">
        <v>333</v>
      </c>
      <c r="C112" s="102" t="s">
        <v>287</v>
      </c>
      <c r="D112" s="26">
        <f t="shared" si="27"/>
        <v>35</v>
      </c>
      <c r="E112" s="24">
        <f t="shared" si="39"/>
        <v>0</v>
      </c>
      <c r="F112" s="24">
        <f t="shared" si="40"/>
        <v>0</v>
      </c>
      <c r="G112" s="26">
        <f t="shared" si="41"/>
        <v>35</v>
      </c>
      <c r="H112" s="24"/>
      <c r="I112" s="809"/>
      <c r="J112" s="809"/>
      <c r="K112" s="791"/>
      <c r="L112" s="791"/>
      <c r="M112" s="791"/>
      <c r="N112" s="791"/>
      <c r="O112" s="798"/>
      <c r="P112" s="798"/>
      <c r="Q112" s="798">
        <f t="shared" si="42"/>
        <v>35</v>
      </c>
      <c r="R112" s="798"/>
      <c r="S112" s="791"/>
      <c r="T112" s="791">
        <v>35</v>
      </c>
      <c r="U112" s="791"/>
      <c r="V112" s="791"/>
      <c r="W112" s="791"/>
      <c r="X112" s="791"/>
      <c r="Y112" s="861"/>
      <c r="Z112" s="861"/>
      <c r="AA112" s="861"/>
      <c r="AB112" s="861"/>
      <c r="AC112" s="783"/>
      <c r="AD112" s="783"/>
      <c r="AE112" s="783"/>
      <c r="AF112" s="783"/>
      <c r="AG112" s="783"/>
      <c r="AH112" s="825"/>
      <c r="AI112" s="825"/>
      <c r="AJ112" s="825"/>
      <c r="AK112" s="987"/>
      <c r="AL112" s="913"/>
      <c r="AM112" s="913"/>
      <c r="AN112" s="913"/>
      <c r="AO112" s="913"/>
      <c r="AP112" s="913"/>
      <c r="AQ112" s="913"/>
      <c r="AR112" s="913"/>
      <c r="AS112" s="913"/>
    </row>
    <row r="113" spans="1:45" ht="39.75" customHeight="1" x14ac:dyDescent="0.25">
      <c r="A113" s="232"/>
      <c r="B113" s="102" t="s">
        <v>338</v>
      </c>
      <c r="C113" s="102" t="s">
        <v>340</v>
      </c>
      <c r="D113" s="26">
        <f t="shared" si="27"/>
        <v>66.7</v>
      </c>
      <c r="E113" s="24">
        <f t="shared" si="39"/>
        <v>0</v>
      </c>
      <c r="F113" s="24">
        <f t="shared" si="40"/>
        <v>0</v>
      </c>
      <c r="G113" s="26">
        <f t="shared" si="41"/>
        <v>66.7</v>
      </c>
      <c r="H113" s="24"/>
      <c r="I113" s="809"/>
      <c r="J113" s="809"/>
      <c r="K113" s="791"/>
      <c r="L113" s="791"/>
      <c r="M113" s="791"/>
      <c r="N113" s="791"/>
      <c r="O113" s="798"/>
      <c r="P113" s="798"/>
      <c r="Q113" s="798">
        <f t="shared" si="42"/>
        <v>66.7</v>
      </c>
      <c r="R113" s="798"/>
      <c r="S113" s="791"/>
      <c r="T113" s="791">
        <v>66.7</v>
      </c>
      <c r="U113" s="791"/>
      <c r="V113" s="791"/>
      <c r="W113" s="791"/>
      <c r="X113" s="791"/>
      <c r="Y113" s="861"/>
      <c r="Z113" s="861"/>
      <c r="AA113" s="861"/>
      <c r="AB113" s="861"/>
      <c r="AC113" s="783"/>
      <c r="AD113" s="783"/>
      <c r="AE113" s="783"/>
      <c r="AF113" s="783"/>
      <c r="AG113" s="783"/>
      <c r="AH113" s="825"/>
      <c r="AI113" s="825"/>
      <c r="AJ113" s="825"/>
      <c r="AK113" s="987"/>
      <c r="AL113" s="913"/>
      <c r="AM113" s="913"/>
      <c r="AN113" s="913"/>
      <c r="AO113" s="913"/>
      <c r="AP113" s="913"/>
      <c r="AQ113" s="913"/>
      <c r="AR113" s="913"/>
      <c r="AS113" s="913"/>
    </row>
    <row r="114" spans="1:45" ht="27.75" customHeight="1" x14ac:dyDescent="0.25">
      <c r="A114" s="232"/>
      <c r="B114" s="102" t="s">
        <v>347</v>
      </c>
      <c r="C114" s="102" t="s">
        <v>343</v>
      </c>
      <c r="D114" s="26">
        <f t="shared" si="27"/>
        <v>60</v>
      </c>
      <c r="E114" s="24">
        <f t="shared" si="39"/>
        <v>0</v>
      </c>
      <c r="F114" s="24">
        <f t="shared" si="40"/>
        <v>0</v>
      </c>
      <c r="G114" s="26">
        <f t="shared" si="41"/>
        <v>60</v>
      </c>
      <c r="H114" s="24"/>
      <c r="I114" s="809"/>
      <c r="J114" s="809"/>
      <c r="K114" s="791"/>
      <c r="L114" s="791"/>
      <c r="M114" s="791"/>
      <c r="N114" s="791"/>
      <c r="O114" s="798"/>
      <c r="P114" s="798"/>
      <c r="Q114" s="798">
        <f t="shared" si="42"/>
        <v>30</v>
      </c>
      <c r="R114" s="798"/>
      <c r="S114" s="791"/>
      <c r="T114" s="791">
        <v>30</v>
      </c>
      <c r="U114" s="798">
        <f>V114+W114+X114</f>
        <v>30</v>
      </c>
      <c r="V114" s="791"/>
      <c r="W114" s="791"/>
      <c r="X114" s="791">
        <v>30</v>
      </c>
      <c r="Y114" s="861"/>
      <c r="Z114" s="861"/>
      <c r="AA114" s="861"/>
      <c r="AB114" s="861"/>
      <c r="AC114" s="783"/>
      <c r="AD114" s="783"/>
      <c r="AE114" s="783"/>
      <c r="AF114" s="783"/>
      <c r="AG114" s="783"/>
      <c r="AH114" s="825"/>
      <c r="AI114" s="825"/>
      <c r="AJ114" s="825"/>
      <c r="AK114" s="987"/>
      <c r="AL114" s="913"/>
      <c r="AM114" s="913"/>
      <c r="AN114" s="913"/>
      <c r="AO114" s="913"/>
      <c r="AP114" s="913"/>
      <c r="AQ114" s="913"/>
      <c r="AR114" s="913"/>
      <c r="AS114" s="913"/>
    </row>
    <row r="115" spans="1:45" ht="31.9" customHeight="1" x14ac:dyDescent="0.25">
      <c r="A115" s="232"/>
      <c r="B115" s="102" t="s">
        <v>345</v>
      </c>
      <c r="C115" s="102" t="s">
        <v>25</v>
      </c>
      <c r="D115" s="26">
        <f t="shared" si="27"/>
        <v>170</v>
      </c>
      <c r="E115" s="24">
        <f t="shared" si="39"/>
        <v>0</v>
      </c>
      <c r="F115" s="24">
        <f t="shared" si="40"/>
        <v>0</v>
      </c>
      <c r="G115" s="26">
        <f t="shared" si="41"/>
        <v>170</v>
      </c>
      <c r="H115" s="24"/>
      <c r="I115" s="809"/>
      <c r="J115" s="809"/>
      <c r="K115" s="791"/>
      <c r="L115" s="791"/>
      <c r="M115" s="791"/>
      <c r="N115" s="791"/>
      <c r="O115" s="798"/>
      <c r="P115" s="798"/>
      <c r="Q115" s="798">
        <f t="shared" si="42"/>
        <v>170</v>
      </c>
      <c r="R115" s="798"/>
      <c r="S115" s="791"/>
      <c r="T115" s="791">
        <v>170</v>
      </c>
      <c r="U115" s="798">
        <f>V115+W115+X115</f>
        <v>0</v>
      </c>
      <c r="V115" s="791"/>
      <c r="W115" s="791"/>
      <c r="X115" s="791"/>
      <c r="Y115" s="861"/>
      <c r="Z115" s="861"/>
      <c r="AA115" s="861"/>
      <c r="AB115" s="861"/>
      <c r="AC115" s="783"/>
      <c r="AD115" s="783"/>
      <c r="AE115" s="783"/>
      <c r="AF115" s="783"/>
      <c r="AG115" s="783"/>
      <c r="AH115" s="825"/>
      <c r="AI115" s="825"/>
      <c r="AJ115" s="825"/>
      <c r="AK115" s="987"/>
      <c r="AL115" s="913"/>
      <c r="AM115" s="913"/>
      <c r="AN115" s="913"/>
      <c r="AO115" s="913"/>
      <c r="AP115" s="913"/>
      <c r="AQ115" s="913"/>
      <c r="AR115" s="913"/>
      <c r="AS115" s="913"/>
    </row>
    <row r="116" spans="1:45" ht="29.45" customHeight="1" x14ac:dyDescent="0.25">
      <c r="A116" s="232"/>
      <c r="B116" s="102" t="s">
        <v>346</v>
      </c>
      <c r="C116" s="102" t="s">
        <v>148</v>
      </c>
      <c r="D116" s="26">
        <f t="shared" si="27"/>
        <v>36.241999999999997</v>
      </c>
      <c r="E116" s="24">
        <f t="shared" si="39"/>
        <v>0</v>
      </c>
      <c r="F116" s="24">
        <f t="shared" si="40"/>
        <v>0</v>
      </c>
      <c r="G116" s="26">
        <f t="shared" si="41"/>
        <v>36.241999999999997</v>
      </c>
      <c r="H116" s="24"/>
      <c r="I116" s="809"/>
      <c r="J116" s="809"/>
      <c r="K116" s="791"/>
      <c r="L116" s="791"/>
      <c r="M116" s="791"/>
      <c r="N116" s="791"/>
      <c r="O116" s="798"/>
      <c r="P116" s="798"/>
      <c r="Q116" s="798">
        <f t="shared" si="42"/>
        <v>36.241999999999997</v>
      </c>
      <c r="R116" s="798"/>
      <c r="S116" s="791"/>
      <c r="T116" s="791">
        <v>36.241999999999997</v>
      </c>
      <c r="U116" s="798">
        <f>V116+W116+X116</f>
        <v>0</v>
      </c>
      <c r="V116" s="791"/>
      <c r="W116" s="791"/>
      <c r="X116" s="791"/>
      <c r="Y116" s="861"/>
      <c r="Z116" s="861"/>
      <c r="AA116" s="861"/>
      <c r="AB116" s="861"/>
      <c r="AC116" s="783"/>
      <c r="AD116" s="783"/>
      <c r="AE116" s="783"/>
      <c r="AF116" s="783"/>
      <c r="AG116" s="783"/>
      <c r="AH116" s="825"/>
      <c r="AI116" s="825"/>
      <c r="AJ116" s="825"/>
      <c r="AK116" s="987"/>
      <c r="AL116" s="913"/>
      <c r="AM116" s="913"/>
      <c r="AN116" s="913"/>
      <c r="AO116" s="913"/>
      <c r="AP116" s="913"/>
      <c r="AQ116" s="913"/>
      <c r="AR116" s="913"/>
      <c r="AS116" s="913"/>
    </row>
    <row r="117" spans="1:45" ht="42.6" customHeight="1" x14ac:dyDescent="0.25">
      <c r="A117" s="232"/>
      <c r="B117" s="102" t="s">
        <v>426</v>
      </c>
      <c r="C117" s="102" t="s">
        <v>606</v>
      </c>
      <c r="D117" s="26">
        <f t="shared" si="27"/>
        <v>275.83</v>
      </c>
      <c r="E117" s="24">
        <f t="shared" si="39"/>
        <v>0</v>
      </c>
      <c r="F117" s="24">
        <f t="shared" si="40"/>
        <v>0</v>
      </c>
      <c r="G117" s="26">
        <f t="shared" si="41"/>
        <v>275.83</v>
      </c>
      <c r="H117" s="24"/>
      <c r="I117" s="809"/>
      <c r="J117" s="809"/>
      <c r="K117" s="791"/>
      <c r="L117" s="791"/>
      <c r="M117" s="791"/>
      <c r="N117" s="791"/>
      <c r="O117" s="798"/>
      <c r="P117" s="798"/>
      <c r="Q117" s="798">
        <f t="shared" si="42"/>
        <v>125.83</v>
      </c>
      <c r="R117" s="798"/>
      <c r="S117" s="791"/>
      <c r="T117" s="791">
        <v>125.83</v>
      </c>
      <c r="U117" s="798">
        <f>V117+W117+X117</f>
        <v>150</v>
      </c>
      <c r="V117" s="791"/>
      <c r="W117" s="791"/>
      <c r="X117" s="791">
        <v>150</v>
      </c>
      <c r="Y117" s="861"/>
      <c r="Z117" s="861"/>
      <c r="AA117" s="861"/>
      <c r="AB117" s="861"/>
      <c r="AC117" s="783"/>
      <c r="AD117" s="783"/>
      <c r="AE117" s="783"/>
      <c r="AF117" s="783"/>
      <c r="AG117" s="783"/>
      <c r="AH117" s="825"/>
      <c r="AI117" s="825"/>
      <c r="AJ117" s="825"/>
      <c r="AK117" s="987"/>
      <c r="AL117" s="913"/>
      <c r="AM117" s="913"/>
      <c r="AN117" s="913"/>
      <c r="AO117" s="913"/>
      <c r="AP117" s="913"/>
      <c r="AQ117" s="913"/>
      <c r="AR117" s="913"/>
      <c r="AS117" s="913"/>
    </row>
    <row r="118" spans="1:45" ht="21" customHeight="1" x14ac:dyDescent="0.25">
      <c r="A118" s="232"/>
      <c r="B118" s="102" t="s">
        <v>424</v>
      </c>
      <c r="C118" s="102" t="s">
        <v>26</v>
      </c>
      <c r="D118" s="26">
        <f t="shared" si="27"/>
        <v>42.61</v>
      </c>
      <c r="E118" s="24">
        <f t="shared" si="39"/>
        <v>0</v>
      </c>
      <c r="F118" s="24">
        <f t="shared" si="40"/>
        <v>0</v>
      </c>
      <c r="G118" s="26">
        <f t="shared" si="41"/>
        <v>42.61</v>
      </c>
      <c r="H118" s="24"/>
      <c r="I118" s="809"/>
      <c r="J118" s="809"/>
      <c r="K118" s="791"/>
      <c r="L118" s="791"/>
      <c r="M118" s="791"/>
      <c r="N118" s="791"/>
      <c r="O118" s="798"/>
      <c r="P118" s="798"/>
      <c r="Q118" s="798">
        <f t="shared" si="42"/>
        <v>42.61</v>
      </c>
      <c r="R118" s="798"/>
      <c r="S118" s="791"/>
      <c r="T118" s="791">
        <v>42.61</v>
      </c>
      <c r="U118" s="791"/>
      <c r="V118" s="791"/>
      <c r="W118" s="791"/>
      <c r="X118" s="791"/>
      <c r="Y118" s="861"/>
      <c r="Z118" s="861"/>
      <c r="AA118" s="861"/>
      <c r="AB118" s="861"/>
      <c r="AC118" s="783"/>
      <c r="AD118" s="783"/>
      <c r="AE118" s="783"/>
      <c r="AF118" s="783"/>
      <c r="AG118" s="783"/>
      <c r="AH118" s="825"/>
      <c r="AI118" s="825"/>
      <c r="AJ118" s="825"/>
      <c r="AK118" s="987"/>
      <c r="AL118" s="913"/>
      <c r="AM118" s="913"/>
      <c r="AN118" s="913"/>
      <c r="AO118" s="913"/>
      <c r="AP118" s="913"/>
      <c r="AQ118" s="913"/>
      <c r="AR118" s="913"/>
      <c r="AS118" s="913"/>
    </row>
    <row r="119" spans="1:45" ht="39" customHeight="1" x14ac:dyDescent="0.25">
      <c r="A119" s="232"/>
      <c r="B119" s="372" t="s">
        <v>423</v>
      </c>
      <c r="C119" s="102" t="s">
        <v>93</v>
      </c>
      <c r="D119" s="26">
        <f t="shared" si="27"/>
        <v>60</v>
      </c>
      <c r="E119" s="24">
        <f t="shared" si="39"/>
        <v>0</v>
      </c>
      <c r="F119" s="24">
        <f t="shared" si="40"/>
        <v>0</v>
      </c>
      <c r="G119" s="26">
        <f t="shared" si="41"/>
        <v>60</v>
      </c>
      <c r="H119" s="24"/>
      <c r="I119" s="809"/>
      <c r="J119" s="809"/>
      <c r="K119" s="791"/>
      <c r="L119" s="791"/>
      <c r="M119" s="791"/>
      <c r="N119" s="791"/>
      <c r="O119" s="798"/>
      <c r="P119" s="798"/>
      <c r="Q119" s="798">
        <f t="shared" si="42"/>
        <v>60</v>
      </c>
      <c r="R119" s="798"/>
      <c r="S119" s="791"/>
      <c r="T119" s="791">
        <v>60</v>
      </c>
      <c r="U119" s="791"/>
      <c r="V119" s="791"/>
      <c r="W119" s="791"/>
      <c r="X119" s="791"/>
      <c r="Y119" s="861"/>
      <c r="Z119" s="861"/>
      <c r="AA119" s="861"/>
      <c r="AB119" s="861"/>
      <c r="AC119" s="783"/>
      <c r="AD119" s="783"/>
      <c r="AE119" s="783"/>
      <c r="AF119" s="783"/>
      <c r="AG119" s="783"/>
      <c r="AH119" s="825"/>
      <c r="AI119" s="825"/>
      <c r="AJ119" s="825"/>
      <c r="AK119" s="987"/>
      <c r="AL119" s="913"/>
      <c r="AM119" s="913"/>
      <c r="AN119" s="913"/>
      <c r="AO119" s="913"/>
      <c r="AP119" s="913"/>
      <c r="AQ119" s="913"/>
      <c r="AR119" s="913"/>
      <c r="AS119" s="913"/>
    </row>
    <row r="120" spans="1:45" ht="15.6" customHeight="1" x14ac:dyDescent="0.25">
      <c r="A120" s="232"/>
      <c r="B120" s="397" t="s">
        <v>427</v>
      </c>
      <c r="C120" s="102" t="s">
        <v>428</v>
      </c>
      <c r="D120" s="26">
        <f t="shared" si="27"/>
        <v>30</v>
      </c>
      <c r="E120" s="24">
        <f t="shared" si="39"/>
        <v>0</v>
      </c>
      <c r="F120" s="24">
        <f t="shared" si="40"/>
        <v>0</v>
      </c>
      <c r="G120" s="26">
        <f t="shared" si="41"/>
        <v>30</v>
      </c>
      <c r="H120" s="24"/>
      <c r="I120" s="809"/>
      <c r="J120" s="809"/>
      <c r="K120" s="791"/>
      <c r="L120" s="791"/>
      <c r="M120" s="791"/>
      <c r="N120" s="791"/>
      <c r="O120" s="798"/>
      <c r="P120" s="798"/>
      <c r="Q120" s="798">
        <f t="shared" si="42"/>
        <v>30</v>
      </c>
      <c r="R120" s="798"/>
      <c r="S120" s="791"/>
      <c r="T120" s="791">
        <v>30</v>
      </c>
      <c r="U120" s="791"/>
      <c r="V120" s="791"/>
      <c r="W120" s="791"/>
      <c r="X120" s="791"/>
      <c r="Y120" s="861"/>
      <c r="Z120" s="861"/>
      <c r="AA120" s="861"/>
      <c r="AB120" s="861"/>
      <c r="AC120" s="783"/>
      <c r="AD120" s="783"/>
      <c r="AE120" s="783"/>
      <c r="AF120" s="783"/>
      <c r="AG120" s="783"/>
      <c r="AH120" s="825"/>
      <c r="AI120" s="825"/>
      <c r="AJ120" s="825"/>
      <c r="AK120" s="987"/>
      <c r="AL120" s="913"/>
      <c r="AM120" s="913"/>
      <c r="AN120" s="913"/>
      <c r="AO120" s="913"/>
      <c r="AP120" s="913"/>
      <c r="AQ120" s="913"/>
      <c r="AR120" s="913"/>
      <c r="AS120" s="913"/>
    </row>
    <row r="121" spans="1:45" ht="27" customHeight="1" x14ac:dyDescent="0.25">
      <c r="A121" s="232"/>
      <c r="B121" s="397" t="s">
        <v>429</v>
      </c>
      <c r="C121" s="102" t="s">
        <v>17</v>
      </c>
      <c r="D121" s="26">
        <f t="shared" si="27"/>
        <v>12</v>
      </c>
      <c r="E121" s="24">
        <f t="shared" si="39"/>
        <v>0</v>
      </c>
      <c r="F121" s="24">
        <f t="shared" si="40"/>
        <v>0</v>
      </c>
      <c r="G121" s="26">
        <f t="shared" si="41"/>
        <v>12</v>
      </c>
      <c r="H121" s="24"/>
      <c r="I121" s="809"/>
      <c r="J121" s="809"/>
      <c r="K121" s="791"/>
      <c r="L121" s="791"/>
      <c r="M121" s="791"/>
      <c r="N121" s="791"/>
      <c r="O121" s="798"/>
      <c r="P121" s="798"/>
      <c r="Q121" s="798">
        <f t="shared" si="42"/>
        <v>12</v>
      </c>
      <c r="R121" s="798"/>
      <c r="S121" s="791"/>
      <c r="T121" s="791">
        <v>12</v>
      </c>
      <c r="U121" s="791"/>
      <c r="V121" s="791"/>
      <c r="W121" s="791"/>
      <c r="X121" s="791"/>
      <c r="Y121" s="861"/>
      <c r="Z121" s="861"/>
      <c r="AA121" s="861"/>
      <c r="AB121" s="861"/>
      <c r="AC121" s="783"/>
      <c r="AD121" s="783"/>
      <c r="AE121" s="783"/>
      <c r="AF121" s="783"/>
      <c r="AG121" s="783"/>
      <c r="AH121" s="825"/>
      <c r="AI121" s="825"/>
      <c r="AJ121" s="825"/>
      <c r="AK121" s="987"/>
      <c r="AL121" s="913"/>
      <c r="AM121" s="913"/>
      <c r="AN121" s="913"/>
      <c r="AO121" s="913"/>
      <c r="AP121" s="913"/>
      <c r="AQ121" s="913"/>
      <c r="AR121" s="913"/>
      <c r="AS121" s="913"/>
    </row>
    <row r="122" spans="1:45" ht="1.1499999999999999" hidden="1" customHeight="1" x14ac:dyDescent="0.25">
      <c r="A122" s="232"/>
      <c r="B122" s="397"/>
      <c r="C122" s="102"/>
      <c r="D122" s="26">
        <f t="shared" si="27"/>
        <v>0</v>
      </c>
      <c r="E122" s="26"/>
      <c r="F122" s="26"/>
      <c r="G122" s="26">
        <f t="shared" si="41"/>
        <v>0</v>
      </c>
      <c r="H122" s="24"/>
      <c r="I122" s="809"/>
      <c r="J122" s="809"/>
      <c r="K122" s="791"/>
      <c r="L122" s="791"/>
      <c r="M122" s="791"/>
      <c r="N122" s="791"/>
      <c r="O122" s="798"/>
      <c r="P122" s="798"/>
      <c r="Q122" s="798">
        <f t="shared" si="42"/>
        <v>0</v>
      </c>
      <c r="R122" s="798"/>
      <c r="S122" s="791"/>
      <c r="T122" s="791"/>
      <c r="U122" s="791"/>
      <c r="V122" s="791"/>
      <c r="W122" s="791"/>
      <c r="X122" s="791"/>
      <c r="Y122" s="861"/>
      <c r="Z122" s="861"/>
      <c r="AA122" s="861"/>
      <c r="AB122" s="861"/>
      <c r="AC122" s="783"/>
      <c r="AD122" s="783"/>
      <c r="AE122" s="783"/>
      <c r="AF122" s="783"/>
      <c r="AG122" s="783"/>
      <c r="AH122" s="825"/>
      <c r="AI122" s="825"/>
      <c r="AJ122" s="825"/>
      <c r="AK122" s="987"/>
      <c r="AL122" s="913"/>
      <c r="AM122" s="913"/>
      <c r="AN122" s="913"/>
      <c r="AO122" s="913"/>
      <c r="AP122" s="913"/>
      <c r="AQ122" s="913"/>
      <c r="AR122" s="913"/>
      <c r="AS122" s="913"/>
    </row>
    <row r="123" spans="1:45" ht="21.6" customHeight="1" x14ac:dyDescent="0.25">
      <c r="A123" s="232"/>
      <c r="B123" s="397" t="s">
        <v>432</v>
      </c>
      <c r="C123" s="102" t="s">
        <v>433</v>
      </c>
      <c r="D123" s="26">
        <f t="shared" si="27"/>
        <v>211.73099999999999</v>
      </c>
      <c r="E123" s="24">
        <f t="shared" ref="E123:E143" si="43">J123+N123+R123+V123+Z123+AD123+AI123</f>
        <v>0</v>
      </c>
      <c r="F123" s="24">
        <f t="shared" ref="F123:F143" si="44">K123+O123+S123+W123+AA123+AE123+AJ123</f>
        <v>0</v>
      </c>
      <c r="G123" s="26">
        <f t="shared" si="41"/>
        <v>211.73099999999999</v>
      </c>
      <c r="H123" s="24"/>
      <c r="I123" s="809"/>
      <c r="J123" s="809"/>
      <c r="K123" s="791"/>
      <c r="L123" s="791"/>
      <c r="M123" s="791"/>
      <c r="N123" s="791"/>
      <c r="O123" s="798"/>
      <c r="P123" s="798"/>
      <c r="Q123" s="798">
        <f t="shared" si="42"/>
        <v>30</v>
      </c>
      <c r="R123" s="798"/>
      <c r="S123" s="791"/>
      <c r="T123" s="791">
        <v>30</v>
      </c>
      <c r="U123" s="798">
        <f t="shared" ref="U123:U145" si="45">V123+W123+X123</f>
        <v>90</v>
      </c>
      <c r="V123" s="791"/>
      <c r="W123" s="791"/>
      <c r="X123" s="791">
        <v>90</v>
      </c>
      <c r="Y123" s="798">
        <f>Z123+AA123+AB123</f>
        <v>91.731000000000009</v>
      </c>
      <c r="Z123" s="861"/>
      <c r="AA123" s="861"/>
      <c r="AB123" s="863">
        <f>92.4-0.669</f>
        <v>91.731000000000009</v>
      </c>
      <c r="AC123" s="203">
        <f t="shared" ref="AC123:AC128" si="46">AD123+AE123+AF123</f>
        <v>0</v>
      </c>
      <c r="AD123" s="783"/>
      <c r="AE123" s="783"/>
      <c r="AF123" s="783"/>
      <c r="AG123" s="783"/>
      <c r="AH123" s="825"/>
      <c r="AI123" s="825"/>
      <c r="AJ123" s="825"/>
      <c r="AK123" s="987"/>
      <c r="AL123" s="913"/>
      <c r="AM123" s="913"/>
      <c r="AN123" s="913"/>
      <c r="AO123" s="913"/>
      <c r="AP123" s="913"/>
      <c r="AQ123" s="913"/>
      <c r="AR123" s="913"/>
      <c r="AS123" s="913"/>
    </row>
    <row r="124" spans="1:45" ht="45.75" customHeight="1" x14ac:dyDescent="0.25">
      <c r="A124" s="232"/>
      <c r="B124" s="397" t="s">
        <v>578</v>
      </c>
      <c r="C124" s="102" t="s">
        <v>110</v>
      </c>
      <c r="D124" s="26">
        <f t="shared" si="27"/>
        <v>848.73360000000002</v>
      </c>
      <c r="E124" s="24">
        <f t="shared" si="43"/>
        <v>0</v>
      </c>
      <c r="F124" s="24">
        <f t="shared" si="44"/>
        <v>0</v>
      </c>
      <c r="G124" s="26">
        <f t="shared" si="41"/>
        <v>848.73360000000002</v>
      </c>
      <c r="H124" s="24"/>
      <c r="I124" s="809"/>
      <c r="J124" s="809"/>
      <c r="K124" s="791"/>
      <c r="L124" s="791"/>
      <c r="M124" s="791"/>
      <c r="N124" s="791"/>
      <c r="O124" s="798"/>
      <c r="P124" s="798"/>
      <c r="Q124" s="798"/>
      <c r="R124" s="798"/>
      <c r="S124" s="791"/>
      <c r="T124" s="791"/>
      <c r="U124" s="798">
        <f t="shared" si="45"/>
        <v>848.73360000000002</v>
      </c>
      <c r="V124" s="791"/>
      <c r="W124" s="791"/>
      <c r="X124" s="791">
        <v>848.73360000000002</v>
      </c>
      <c r="Y124" s="798">
        <f>Z124+AA124+AB124</f>
        <v>0</v>
      </c>
      <c r="Z124" s="861"/>
      <c r="AA124" s="861"/>
      <c r="AB124" s="861"/>
      <c r="AC124" s="203">
        <f t="shared" si="46"/>
        <v>0</v>
      </c>
      <c r="AD124" s="783"/>
      <c r="AE124" s="783"/>
      <c r="AF124" s="783"/>
      <c r="AG124" s="783"/>
      <c r="AH124" s="825"/>
      <c r="AI124" s="825"/>
      <c r="AJ124" s="825"/>
      <c r="AK124" s="987"/>
      <c r="AL124" s="913"/>
      <c r="AM124" s="913"/>
      <c r="AN124" s="913"/>
      <c r="AO124" s="913"/>
      <c r="AP124" s="913"/>
      <c r="AQ124" s="913"/>
      <c r="AR124" s="913"/>
      <c r="AS124" s="913"/>
    </row>
    <row r="125" spans="1:45" ht="30" customHeight="1" x14ac:dyDescent="0.25">
      <c r="A125" s="232"/>
      <c r="B125" s="397" t="s">
        <v>544</v>
      </c>
      <c r="C125" s="102" t="s">
        <v>26</v>
      </c>
      <c r="D125" s="26">
        <f t="shared" si="27"/>
        <v>70</v>
      </c>
      <c r="E125" s="24">
        <f t="shared" si="43"/>
        <v>0</v>
      </c>
      <c r="F125" s="24">
        <f t="shared" si="44"/>
        <v>0</v>
      </c>
      <c r="G125" s="26">
        <f t="shared" si="41"/>
        <v>70</v>
      </c>
      <c r="H125" s="24"/>
      <c r="I125" s="809"/>
      <c r="J125" s="809"/>
      <c r="K125" s="791"/>
      <c r="L125" s="791"/>
      <c r="M125" s="791"/>
      <c r="N125" s="791"/>
      <c r="O125" s="798"/>
      <c r="P125" s="798"/>
      <c r="Q125" s="798"/>
      <c r="R125" s="798"/>
      <c r="S125" s="791"/>
      <c r="T125" s="791"/>
      <c r="U125" s="798">
        <f t="shared" si="45"/>
        <v>70</v>
      </c>
      <c r="V125" s="791"/>
      <c r="W125" s="791"/>
      <c r="X125" s="791">
        <v>70</v>
      </c>
      <c r="Y125" s="798"/>
      <c r="Z125" s="861"/>
      <c r="AA125" s="861"/>
      <c r="AB125" s="861"/>
      <c r="AC125" s="203">
        <f t="shared" si="46"/>
        <v>0</v>
      </c>
      <c r="AD125" s="783"/>
      <c r="AE125" s="783"/>
      <c r="AF125" s="783"/>
      <c r="AG125" s="783"/>
      <c r="AH125" s="825"/>
      <c r="AI125" s="825"/>
      <c r="AJ125" s="825"/>
      <c r="AK125" s="987"/>
      <c r="AL125" s="913"/>
      <c r="AM125" s="913"/>
      <c r="AN125" s="913"/>
      <c r="AO125" s="913"/>
      <c r="AP125" s="913"/>
      <c r="AQ125" s="913"/>
      <c r="AR125" s="913"/>
      <c r="AS125" s="913"/>
    </row>
    <row r="126" spans="1:45" ht="44.25" customHeight="1" x14ac:dyDescent="0.25">
      <c r="A126" s="232"/>
      <c r="B126" s="397" t="s">
        <v>572</v>
      </c>
      <c r="C126" s="102" t="s">
        <v>25</v>
      </c>
      <c r="D126" s="26">
        <f t="shared" si="27"/>
        <v>25</v>
      </c>
      <c r="E126" s="24">
        <f t="shared" si="43"/>
        <v>0</v>
      </c>
      <c r="F126" s="24">
        <f t="shared" si="44"/>
        <v>0</v>
      </c>
      <c r="G126" s="26">
        <f t="shared" si="41"/>
        <v>25</v>
      </c>
      <c r="H126" s="24"/>
      <c r="I126" s="809"/>
      <c r="J126" s="809"/>
      <c r="K126" s="791"/>
      <c r="L126" s="791"/>
      <c r="M126" s="791"/>
      <c r="N126" s="791"/>
      <c r="O126" s="798"/>
      <c r="P126" s="798"/>
      <c r="Q126" s="798"/>
      <c r="R126" s="798"/>
      <c r="S126" s="791"/>
      <c r="T126" s="791"/>
      <c r="U126" s="798">
        <f t="shared" si="45"/>
        <v>25</v>
      </c>
      <c r="V126" s="791"/>
      <c r="W126" s="791"/>
      <c r="X126" s="791">
        <v>25</v>
      </c>
      <c r="Y126" s="798"/>
      <c r="Z126" s="861"/>
      <c r="AA126" s="861"/>
      <c r="AB126" s="861"/>
      <c r="AC126" s="203">
        <f t="shared" si="46"/>
        <v>0</v>
      </c>
      <c r="AD126" s="783"/>
      <c r="AE126" s="783"/>
      <c r="AF126" s="783"/>
      <c r="AG126" s="783"/>
      <c r="AH126" s="825"/>
      <c r="AI126" s="825"/>
      <c r="AJ126" s="825"/>
      <c r="AK126" s="987"/>
      <c r="AL126" s="913"/>
      <c r="AM126" s="913"/>
      <c r="AN126" s="913"/>
      <c r="AO126" s="913"/>
      <c r="AP126" s="913"/>
      <c r="AQ126" s="913"/>
      <c r="AR126" s="913"/>
      <c r="AS126" s="913"/>
    </row>
    <row r="127" spans="1:45" ht="27" customHeight="1" x14ac:dyDescent="0.25">
      <c r="A127" s="232"/>
      <c r="B127" s="397" t="s">
        <v>545</v>
      </c>
      <c r="C127" s="102" t="s">
        <v>25</v>
      </c>
      <c r="D127" s="26">
        <f t="shared" si="27"/>
        <v>113.3</v>
      </c>
      <c r="E127" s="24">
        <f t="shared" si="43"/>
        <v>0</v>
      </c>
      <c r="F127" s="24">
        <f t="shared" si="44"/>
        <v>0</v>
      </c>
      <c r="G127" s="26">
        <f t="shared" si="41"/>
        <v>113.3</v>
      </c>
      <c r="H127" s="24"/>
      <c r="I127" s="809"/>
      <c r="J127" s="809"/>
      <c r="K127" s="791"/>
      <c r="L127" s="791"/>
      <c r="M127" s="791"/>
      <c r="N127" s="791"/>
      <c r="O127" s="798"/>
      <c r="P127" s="798"/>
      <c r="Q127" s="798"/>
      <c r="R127" s="798"/>
      <c r="S127" s="791"/>
      <c r="T127" s="791"/>
      <c r="U127" s="798">
        <f t="shared" si="45"/>
        <v>113.3</v>
      </c>
      <c r="V127" s="791"/>
      <c r="W127" s="791"/>
      <c r="X127" s="791">
        <v>113.3</v>
      </c>
      <c r="Y127" s="798"/>
      <c r="Z127" s="861"/>
      <c r="AA127" s="861"/>
      <c r="AB127" s="861"/>
      <c r="AC127" s="203">
        <f t="shared" si="46"/>
        <v>0</v>
      </c>
      <c r="AD127" s="783"/>
      <c r="AE127" s="783"/>
      <c r="AF127" s="783"/>
      <c r="AG127" s="783"/>
      <c r="AH127" s="825"/>
      <c r="AI127" s="825"/>
      <c r="AJ127" s="825"/>
      <c r="AK127" s="987"/>
      <c r="AL127" s="913"/>
      <c r="AM127" s="913"/>
      <c r="AN127" s="913"/>
      <c r="AO127" s="913"/>
      <c r="AP127" s="913"/>
      <c r="AQ127" s="913"/>
      <c r="AR127" s="913"/>
      <c r="AS127" s="913"/>
    </row>
    <row r="128" spans="1:45" ht="38.25" customHeight="1" x14ac:dyDescent="0.25">
      <c r="A128" s="232"/>
      <c r="B128" s="70" t="s">
        <v>579</v>
      </c>
      <c r="C128" s="102" t="s">
        <v>677</v>
      </c>
      <c r="D128" s="26">
        <f t="shared" si="27"/>
        <v>1540.1024699999998</v>
      </c>
      <c r="E128" s="24">
        <f t="shared" si="43"/>
        <v>0</v>
      </c>
      <c r="F128" s="24">
        <f t="shared" si="44"/>
        <v>0</v>
      </c>
      <c r="G128" s="26">
        <f t="shared" si="41"/>
        <v>1540.1024699999998</v>
      </c>
      <c r="H128" s="24"/>
      <c r="I128" s="809"/>
      <c r="J128" s="809"/>
      <c r="K128" s="791"/>
      <c r="L128" s="791"/>
      <c r="M128" s="791"/>
      <c r="N128" s="791"/>
      <c r="O128" s="798"/>
      <c r="P128" s="798"/>
      <c r="Q128" s="798"/>
      <c r="R128" s="798"/>
      <c r="S128" s="791"/>
      <c r="T128" s="791"/>
      <c r="U128" s="798">
        <f t="shared" si="45"/>
        <v>180.1</v>
      </c>
      <c r="V128" s="791"/>
      <c r="W128" s="791"/>
      <c r="X128" s="791">
        <v>180.1</v>
      </c>
      <c r="Y128" s="798">
        <f>Z128+AA128+AB128</f>
        <v>387.27250999999995</v>
      </c>
      <c r="Z128" s="861"/>
      <c r="AA128" s="861"/>
      <c r="AB128" s="863">
        <f>439.4-2-50.12749</f>
        <v>387.27250999999995</v>
      </c>
      <c r="AC128" s="203">
        <f t="shared" si="46"/>
        <v>972.72995999999989</v>
      </c>
      <c r="AD128" s="783"/>
      <c r="AE128" s="783"/>
      <c r="AF128" s="749">
        <f>97+1220-51.4-292.87004</f>
        <v>972.72995999999989</v>
      </c>
      <c r="AG128" s="749"/>
      <c r="AH128" s="825"/>
      <c r="AI128" s="825"/>
      <c r="AJ128" s="825"/>
      <c r="AK128" s="987"/>
      <c r="AL128" s="913"/>
      <c r="AM128" s="913"/>
      <c r="AN128" s="913"/>
      <c r="AO128" s="913"/>
      <c r="AP128" s="913"/>
      <c r="AQ128" s="913"/>
      <c r="AR128" s="913"/>
      <c r="AS128" s="913"/>
    </row>
    <row r="129" spans="1:45" ht="41.25" customHeight="1" x14ac:dyDescent="0.25">
      <c r="A129" s="232"/>
      <c r="B129" s="397" t="s">
        <v>583</v>
      </c>
      <c r="C129" s="102" t="s">
        <v>37</v>
      </c>
      <c r="D129" s="26">
        <f t="shared" si="27"/>
        <v>100</v>
      </c>
      <c r="E129" s="24">
        <f t="shared" si="43"/>
        <v>0</v>
      </c>
      <c r="F129" s="24">
        <f t="shared" si="44"/>
        <v>0</v>
      </c>
      <c r="G129" s="26">
        <f t="shared" si="41"/>
        <v>100</v>
      </c>
      <c r="H129" s="24"/>
      <c r="I129" s="809"/>
      <c r="J129" s="809"/>
      <c r="K129" s="791"/>
      <c r="L129" s="791"/>
      <c r="M129" s="791"/>
      <c r="N129" s="791"/>
      <c r="O129" s="798"/>
      <c r="P129" s="798"/>
      <c r="Q129" s="798"/>
      <c r="R129" s="798"/>
      <c r="S129" s="791"/>
      <c r="T129" s="791"/>
      <c r="U129" s="798">
        <f t="shared" si="45"/>
        <v>100</v>
      </c>
      <c r="V129" s="791"/>
      <c r="W129" s="791"/>
      <c r="X129" s="791">
        <v>100</v>
      </c>
      <c r="Y129" s="798"/>
      <c r="Z129" s="861"/>
      <c r="AA129" s="861"/>
      <c r="AB129" s="861"/>
      <c r="AC129" s="203"/>
      <c r="AD129" s="783"/>
      <c r="AE129" s="783"/>
      <c r="AF129" s="783"/>
      <c r="AG129" s="783"/>
      <c r="AH129" s="825"/>
      <c r="AI129" s="825"/>
      <c r="AJ129" s="825"/>
      <c r="AK129" s="987"/>
      <c r="AL129" s="913"/>
      <c r="AM129" s="913"/>
      <c r="AN129" s="913"/>
      <c r="AO129" s="913"/>
      <c r="AP129" s="913"/>
      <c r="AQ129" s="913"/>
      <c r="AR129" s="913"/>
      <c r="AS129" s="913"/>
    </row>
    <row r="130" spans="1:45" ht="45" customHeight="1" x14ac:dyDescent="0.25">
      <c r="A130" s="232"/>
      <c r="B130" s="397" t="s">
        <v>574</v>
      </c>
      <c r="C130" s="102" t="s">
        <v>34</v>
      </c>
      <c r="D130" s="26">
        <f t="shared" si="27"/>
        <v>105.5</v>
      </c>
      <c r="E130" s="24">
        <f t="shared" si="43"/>
        <v>0</v>
      </c>
      <c r="F130" s="24">
        <f t="shared" si="44"/>
        <v>0</v>
      </c>
      <c r="G130" s="26">
        <f t="shared" si="41"/>
        <v>105.5</v>
      </c>
      <c r="H130" s="24"/>
      <c r="I130" s="809"/>
      <c r="J130" s="809"/>
      <c r="K130" s="791"/>
      <c r="L130" s="791"/>
      <c r="M130" s="791"/>
      <c r="N130" s="791"/>
      <c r="O130" s="798"/>
      <c r="P130" s="798"/>
      <c r="Q130" s="798"/>
      <c r="R130" s="798"/>
      <c r="S130" s="791"/>
      <c r="T130" s="791"/>
      <c r="U130" s="798">
        <f t="shared" si="45"/>
        <v>105.5</v>
      </c>
      <c r="V130" s="791"/>
      <c r="W130" s="791"/>
      <c r="X130" s="791">
        <v>105.5</v>
      </c>
      <c r="Y130" s="798"/>
      <c r="Z130" s="861"/>
      <c r="AA130" s="861"/>
      <c r="AB130" s="861"/>
      <c r="AC130" s="203"/>
      <c r="AD130" s="783"/>
      <c r="AE130" s="783"/>
      <c r="AF130" s="783"/>
      <c r="AG130" s="783"/>
      <c r="AH130" s="825"/>
      <c r="AI130" s="825"/>
      <c r="AJ130" s="825"/>
      <c r="AK130" s="987"/>
      <c r="AL130" s="913"/>
      <c r="AM130" s="913"/>
      <c r="AN130" s="913"/>
      <c r="AO130" s="913"/>
      <c r="AP130" s="913"/>
      <c r="AQ130" s="913"/>
      <c r="AR130" s="913"/>
      <c r="AS130" s="913"/>
    </row>
    <row r="131" spans="1:45" ht="31.15" customHeight="1" x14ac:dyDescent="0.25">
      <c r="A131" s="232"/>
      <c r="B131" s="397" t="s">
        <v>575</v>
      </c>
      <c r="C131" s="102" t="s">
        <v>34</v>
      </c>
      <c r="D131" s="26">
        <f t="shared" si="27"/>
        <v>210.84299999999999</v>
      </c>
      <c r="E131" s="24">
        <f t="shared" si="43"/>
        <v>0</v>
      </c>
      <c r="F131" s="24">
        <f t="shared" si="44"/>
        <v>0</v>
      </c>
      <c r="G131" s="26">
        <f t="shared" ref="G131:G162" si="47">L131+P131+T131+X131+AB131+AF131+AK131+AO131+AS131</f>
        <v>210.84299999999999</v>
      </c>
      <c r="H131" s="24"/>
      <c r="I131" s="809"/>
      <c r="J131" s="809"/>
      <c r="K131" s="791"/>
      <c r="L131" s="791"/>
      <c r="M131" s="791"/>
      <c r="N131" s="791"/>
      <c r="O131" s="798"/>
      <c r="P131" s="798"/>
      <c r="Q131" s="798"/>
      <c r="R131" s="798"/>
      <c r="S131" s="791"/>
      <c r="T131" s="791"/>
      <c r="U131" s="798">
        <f t="shared" si="45"/>
        <v>210.84299999999999</v>
      </c>
      <c r="V131" s="791"/>
      <c r="W131" s="791"/>
      <c r="X131" s="791">
        <v>210.84299999999999</v>
      </c>
      <c r="Y131" s="798"/>
      <c r="Z131" s="861"/>
      <c r="AA131" s="861"/>
      <c r="AB131" s="861"/>
      <c r="AC131" s="203"/>
      <c r="AD131" s="783"/>
      <c r="AE131" s="783"/>
      <c r="AF131" s="783"/>
      <c r="AG131" s="783"/>
      <c r="AH131" s="825"/>
      <c r="AI131" s="825"/>
      <c r="AJ131" s="825"/>
      <c r="AK131" s="987"/>
      <c r="AL131" s="913"/>
      <c r="AM131" s="913"/>
      <c r="AN131" s="913"/>
      <c r="AO131" s="913"/>
      <c r="AP131" s="913"/>
      <c r="AQ131" s="913"/>
      <c r="AR131" s="913"/>
      <c r="AS131" s="913"/>
    </row>
    <row r="132" spans="1:45" ht="28.5" customHeight="1" x14ac:dyDescent="0.25">
      <c r="A132" s="232"/>
      <c r="B132" s="397" t="s">
        <v>577</v>
      </c>
      <c r="C132" s="102" t="s">
        <v>68</v>
      </c>
      <c r="D132" s="26">
        <f t="shared" ref="D132:D154" si="48">E132+F132+G132</f>
        <v>40</v>
      </c>
      <c r="E132" s="24">
        <f t="shared" si="43"/>
        <v>0</v>
      </c>
      <c r="F132" s="24">
        <f t="shared" si="44"/>
        <v>0</v>
      </c>
      <c r="G132" s="26">
        <f t="shared" si="47"/>
        <v>40</v>
      </c>
      <c r="H132" s="24"/>
      <c r="I132" s="809"/>
      <c r="J132" s="809"/>
      <c r="K132" s="791"/>
      <c r="L132" s="791"/>
      <c r="M132" s="791"/>
      <c r="N132" s="791"/>
      <c r="O132" s="798"/>
      <c r="P132" s="798"/>
      <c r="Q132" s="798"/>
      <c r="R132" s="798"/>
      <c r="S132" s="791"/>
      <c r="T132" s="791"/>
      <c r="U132" s="798">
        <f t="shared" si="45"/>
        <v>40</v>
      </c>
      <c r="V132" s="791"/>
      <c r="W132" s="791"/>
      <c r="X132" s="791">
        <v>40</v>
      </c>
      <c r="Y132" s="798"/>
      <c r="Z132" s="861"/>
      <c r="AA132" s="861"/>
      <c r="AB132" s="861"/>
      <c r="AC132" s="203"/>
      <c r="AD132" s="783"/>
      <c r="AE132" s="783"/>
      <c r="AF132" s="783"/>
      <c r="AG132" s="783"/>
      <c r="AH132" s="825"/>
      <c r="AI132" s="825"/>
      <c r="AJ132" s="825"/>
      <c r="AK132" s="987"/>
      <c r="AL132" s="913"/>
      <c r="AM132" s="913"/>
      <c r="AN132" s="913"/>
      <c r="AO132" s="913"/>
      <c r="AP132" s="913"/>
      <c r="AQ132" s="913"/>
      <c r="AR132" s="913"/>
      <c r="AS132" s="913"/>
    </row>
    <row r="133" spans="1:45" ht="28.5" customHeight="1" x14ac:dyDescent="0.25">
      <c r="A133" s="232"/>
      <c r="B133" s="397" t="s">
        <v>168</v>
      </c>
      <c r="C133" s="102" t="s">
        <v>68</v>
      </c>
      <c r="D133" s="26">
        <f t="shared" si="48"/>
        <v>49.3</v>
      </c>
      <c r="E133" s="24">
        <f t="shared" si="43"/>
        <v>0</v>
      </c>
      <c r="F133" s="24">
        <f t="shared" si="44"/>
        <v>0</v>
      </c>
      <c r="G133" s="26">
        <f t="shared" si="47"/>
        <v>49.3</v>
      </c>
      <c r="H133" s="24"/>
      <c r="I133" s="809"/>
      <c r="J133" s="809"/>
      <c r="K133" s="791"/>
      <c r="L133" s="791"/>
      <c r="M133" s="791"/>
      <c r="N133" s="791"/>
      <c r="O133" s="798"/>
      <c r="P133" s="798"/>
      <c r="Q133" s="798"/>
      <c r="R133" s="798"/>
      <c r="S133" s="791"/>
      <c r="T133" s="791"/>
      <c r="U133" s="798">
        <f t="shared" si="45"/>
        <v>49.3</v>
      </c>
      <c r="V133" s="791"/>
      <c r="W133" s="791"/>
      <c r="X133" s="791">
        <v>49.3</v>
      </c>
      <c r="Y133" s="798"/>
      <c r="Z133" s="861"/>
      <c r="AA133" s="861"/>
      <c r="AB133" s="861"/>
      <c r="AC133" s="203"/>
      <c r="AD133" s="783"/>
      <c r="AE133" s="783"/>
      <c r="AF133" s="783"/>
      <c r="AG133" s="783"/>
      <c r="AH133" s="825"/>
      <c r="AI133" s="825"/>
      <c r="AJ133" s="825"/>
      <c r="AK133" s="987"/>
      <c r="AL133" s="913"/>
      <c r="AM133" s="913"/>
      <c r="AN133" s="913"/>
      <c r="AO133" s="913"/>
      <c r="AP133" s="913"/>
      <c r="AQ133" s="913"/>
      <c r="AR133" s="913"/>
      <c r="AS133" s="913"/>
    </row>
    <row r="134" spans="1:45" ht="31.15" customHeight="1" x14ac:dyDescent="0.25">
      <c r="A134" s="232"/>
      <c r="B134" s="397" t="s">
        <v>544</v>
      </c>
      <c r="C134" s="102" t="s">
        <v>77</v>
      </c>
      <c r="D134" s="26">
        <f t="shared" si="48"/>
        <v>100</v>
      </c>
      <c r="E134" s="24">
        <f t="shared" si="43"/>
        <v>0</v>
      </c>
      <c r="F134" s="24">
        <f t="shared" si="44"/>
        <v>0</v>
      </c>
      <c r="G134" s="26">
        <f t="shared" si="47"/>
        <v>100</v>
      </c>
      <c r="H134" s="24"/>
      <c r="I134" s="809"/>
      <c r="J134" s="809"/>
      <c r="K134" s="791"/>
      <c r="L134" s="791"/>
      <c r="M134" s="791"/>
      <c r="N134" s="791"/>
      <c r="O134" s="798"/>
      <c r="P134" s="798"/>
      <c r="Q134" s="798"/>
      <c r="R134" s="798"/>
      <c r="S134" s="791"/>
      <c r="T134" s="791"/>
      <c r="U134" s="798">
        <f t="shared" si="45"/>
        <v>100</v>
      </c>
      <c r="V134" s="791"/>
      <c r="W134" s="791"/>
      <c r="X134" s="791">
        <v>100</v>
      </c>
      <c r="Y134" s="798"/>
      <c r="Z134" s="861"/>
      <c r="AA134" s="861"/>
      <c r="AB134" s="861"/>
      <c r="AC134" s="203"/>
      <c r="AD134" s="783"/>
      <c r="AE134" s="783"/>
      <c r="AF134" s="783"/>
      <c r="AG134" s="783"/>
      <c r="AH134" s="825"/>
      <c r="AI134" s="825"/>
      <c r="AJ134" s="825"/>
      <c r="AK134" s="987"/>
      <c r="AL134" s="913"/>
      <c r="AM134" s="913"/>
      <c r="AN134" s="913"/>
      <c r="AO134" s="913"/>
      <c r="AP134" s="913"/>
      <c r="AQ134" s="913"/>
      <c r="AR134" s="913"/>
      <c r="AS134" s="913"/>
    </row>
    <row r="135" spans="1:45" ht="31.15" customHeight="1" x14ac:dyDescent="0.25">
      <c r="A135" s="232"/>
      <c r="B135" s="397" t="s">
        <v>546</v>
      </c>
      <c r="C135" s="102" t="s">
        <v>77</v>
      </c>
      <c r="D135" s="26">
        <f t="shared" si="48"/>
        <v>45</v>
      </c>
      <c r="E135" s="24">
        <f t="shared" si="43"/>
        <v>0</v>
      </c>
      <c r="F135" s="24">
        <f t="shared" si="44"/>
        <v>0</v>
      </c>
      <c r="G135" s="26">
        <f t="shared" si="47"/>
        <v>45</v>
      </c>
      <c r="H135" s="24"/>
      <c r="I135" s="809"/>
      <c r="J135" s="809"/>
      <c r="K135" s="791"/>
      <c r="L135" s="791"/>
      <c r="M135" s="791"/>
      <c r="N135" s="791"/>
      <c r="O135" s="798"/>
      <c r="P135" s="798"/>
      <c r="Q135" s="798"/>
      <c r="R135" s="798"/>
      <c r="S135" s="791"/>
      <c r="T135" s="791"/>
      <c r="U135" s="798">
        <f t="shared" si="45"/>
        <v>45</v>
      </c>
      <c r="V135" s="791"/>
      <c r="W135" s="791"/>
      <c r="X135" s="791">
        <v>45</v>
      </c>
      <c r="Y135" s="798"/>
      <c r="Z135" s="861"/>
      <c r="AA135" s="861"/>
      <c r="AB135" s="861"/>
      <c r="AC135" s="203">
        <f>AD135+AE135+AF135</f>
        <v>0</v>
      </c>
      <c r="AD135" s="783"/>
      <c r="AE135" s="783"/>
      <c r="AF135" s="783"/>
      <c r="AG135" s="783"/>
      <c r="AH135" s="825"/>
      <c r="AI135" s="825"/>
      <c r="AJ135" s="825"/>
      <c r="AK135" s="987"/>
      <c r="AL135" s="913"/>
      <c r="AM135" s="913"/>
      <c r="AN135" s="913"/>
      <c r="AO135" s="913"/>
      <c r="AP135" s="913"/>
      <c r="AQ135" s="913"/>
      <c r="AR135" s="913"/>
      <c r="AS135" s="913"/>
    </row>
    <row r="136" spans="1:45" ht="31.15" customHeight="1" x14ac:dyDescent="0.25">
      <c r="A136" s="232"/>
      <c r="B136" s="397" t="s">
        <v>547</v>
      </c>
      <c r="C136" s="102" t="s">
        <v>288</v>
      </c>
      <c r="D136" s="26">
        <f t="shared" si="48"/>
        <v>43</v>
      </c>
      <c r="E136" s="24">
        <f t="shared" si="43"/>
        <v>0</v>
      </c>
      <c r="F136" s="24">
        <f t="shared" si="44"/>
        <v>0</v>
      </c>
      <c r="G136" s="26">
        <f t="shared" si="47"/>
        <v>43</v>
      </c>
      <c r="H136" s="24"/>
      <c r="I136" s="809"/>
      <c r="J136" s="809"/>
      <c r="K136" s="791"/>
      <c r="L136" s="791"/>
      <c r="M136" s="791"/>
      <c r="N136" s="791"/>
      <c r="O136" s="798"/>
      <c r="P136" s="798"/>
      <c r="Q136" s="798"/>
      <c r="R136" s="798"/>
      <c r="S136" s="791"/>
      <c r="T136" s="791"/>
      <c r="U136" s="798">
        <f t="shared" si="45"/>
        <v>43</v>
      </c>
      <c r="V136" s="791"/>
      <c r="W136" s="791"/>
      <c r="X136" s="791">
        <v>43</v>
      </c>
      <c r="Y136" s="798"/>
      <c r="Z136" s="861"/>
      <c r="AA136" s="861"/>
      <c r="AB136" s="861"/>
      <c r="AC136" s="203">
        <f>AD136+AE136+AF136</f>
        <v>0</v>
      </c>
      <c r="AD136" s="783"/>
      <c r="AE136" s="783"/>
      <c r="AF136" s="783"/>
      <c r="AG136" s="783"/>
      <c r="AH136" s="825"/>
      <c r="AI136" s="825"/>
      <c r="AJ136" s="825"/>
      <c r="AK136" s="987"/>
      <c r="AL136" s="913"/>
      <c r="AM136" s="913"/>
      <c r="AN136" s="913"/>
      <c r="AO136" s="913"/>
      <c r="AP136" s="913"/>
      <c r="AQ136" s="913"/>
      <c r="AR136" s="913"/>
      <c r="AS136" s="913"/>
    </row>
    <row r="137" spans="1:45" ht="31.15" customHeight="1" x14ac:dyDescent="0.25">
      <c r="A137" s="232"/>
      <c r="B137" s="397" t="s">
        <v>589</v>
      </c>
      <c r="C137" s="102" t="s">
        <v>46</v>
      </c>
      <c r="D137" s="26">
        <f t="shared" si="48"/>
        <v>43.7</v>
      </c>
      <c r="E137" s="24">
        <f t="shared" si="43"/>
        <v>0</v>
      </c>
      <c r="F137" s="24">
        <f t="shared" si="44"/>
        <v>0</v>
      </c>
      <c r="G137" s="26">
        <f t="shared" si="47"/>
        <v>43.7</v>
      </c>
      <c r="H137" s="24"/>
      <c r="I137" s="809"/>
      <c r="J137" s="809"/>
      <c r="K137" s="791"/>
      <c r="L137" s="791"/>
      <c r="M137" s="791"/>
      <c r="N137" s="791"/>
      <c r="O137" s="798"/>
      <c r="P137" s="798"/>
      <c r="Q137" s="798"/>
      <c r="R137" s="798"/>
      <c r="S137" s="791"/>
      <c r="T137" s="791"/>
      <c r="U137" s="798">
        <f t="shared" si="45"/>
        <v>43.7</v>
      </c>
      <c r="V137" s="791"/>
      <c r="W137" s="791"/>
      <c r="X137" s="791">
        <v>43.7</v>
      </c>
      <c r="Y137" s="798"/>
      <c r="Z137" s="861"/>
      <c r="AA137" s="861"/>
      <c r="AB137" s="861"/>
      <c r="AC137" s="203">
        <f>AD137+AE137+AF137</f>
        <v>0</v>
      </c>
      <c r="AD137" s="783"/>
      <c r="AE137" s="783"/>
      <c r="AF137" s="783"/>
      <c r="AG137" s="783"/>
      <c r="AH137" s="825"/>
      <c r="AI137" s="825"/>
      <c r="AJ137" s="825"/>
      <c r="AK137" s="987"/>
      <c r="AL137" s="913"/>
      <c r="AM137" s="913"/>
      <c r="AN137" s="913"/>
      <c r="AO137" s="913"/>
      <c r="AP137" s="913"/>
      <c r="AQ137" s="913"/>
      <c r="AR137" s="913"/>
      <c r="AS137" s="913"/>
    </row>
    <row r="138" spans="1:45" ht="31.15" customHeight="1" x14ac:dyDescent="0.25">
      <c r="A138" s="232"/>
      <c r="B138" s="70" t="s">
        <v>547</v>
      </c>
      <c r="C138" s="102" t="s">
        <v>675</v>
      </c>
      <c r="D138" s="26">
        <f t="shared" si="48"/>
        <v>1261</v>
      </c>
      <c r="E138" s="24">
        <f t="shared" si="43"/>
        <v>0</v>
      </c>
      <c r="F138" s="24">
        <f t="shared" si="44"/>
        <v>0</v>
      </c>
      <c r="G138" s="26">
        <f t="shared" si="47"/>
        <v>1261</v>
      </c>
      <c r="H138" s="24"/>
      <c r="I138" s="809"/>
      <c r="J138" s="809"/>
      <c r="K138" s="791"/>
      <c r="L138" s="791"/>
      <c r="M138" s="791"/>
      <c r="N138" s="791"/>
      <c r="O138" s="798"/>
      <c r="P138" s="798"/>
      <c r="Q138" s="798"/>
      <c r="R138" s="798"/>
      <c r="S138" s="791"/>
      <c r="T138" s="791"/>
      <c r="U138" s="798">
        <f t="shared" si="45"/>
        <v>200.5</v>
      </c>
      <c r="V138" s="791"/>
      <c r="W138" s="791"/>
      <c r="X138" s="791">
        <v>200.5</v>
      </c>
      <c r="Y138" s="798"/>
      <c r="Z138" s="861"/>
      <c r="AA138" s="861"/>
      <c r="AB138" s="861"/>
      <c r="AC138" s="203">
        <f>AD138+AE138+AF138</f>
        <v>1060.5</v>
      </c>
      <c r="AD138" s="1014"/>
      <c r="AE138" s="1014"/>
      <c r="AF138" s="928">
        <f>1036+24.5</f>
        <v>1060.5</v>
      </c>
      <c r="AG138" s="928"/>
      <c r="AH138" s="1014"/>
      <c r="AI138" s="825"/>
      <c r="AJ138" s="825"/>
      <c r="AK138" s="987"/>
      <c r="AL138" s="913"/>
      <c r="AM138" s="913"/>
      <c r="AN138" s="913"/>
      <c r="AO138" s="913"/>
      <c r="AP138" s="913"/>
      <c r="AQ138" s="913"/>
      <c r="AR138" s="913"/>
      <c r="AS138" s="913"/>
    </row>
    <row r="139" spans="1:45" ht="59.25" customHeight="1" x14ac:dyDescent="0.25">
      <c r="A139" s="232"/>
      <c r="B139" s="70" t="s">
        <v>279</v>
      </c>
      <c r="C139" s="102" t="s">
        <v>674</v>
      </c>
      <c r="D139" s="26">
        <f t="shared" si="48"/>
        <v>3552.8148000000001</v>
      </c>
      <c r="E139" s="24">
        <f t="shared" si="43"/>
        <v>0</v>
      </c>
      <c r="F139" s="24">
        <f t="shared" si="44"/>
        <v>0</v>
      </c>
      <c r="G139" s="26">
        <f t="shared" si="47"/>
        <v>3552.8148000000001</v>
      </c>
      <c r="H139" s="24"/>
      <c r="I139" s="809"/>
      <c r="J139" s="809"/>
      <c r="K139" s="791"/>
      <c r="L139" s="791"/>
      <c r="M139" s="791"/>
      <c r="N139" s="791"/>
      <c r="O139" s="798"/>
      <c r="P139" s="798"/>
      <c r="Q139" s="798"/>
      <c r="R139" s="798"/>
      <c r="S139" s="791"/>
      <c r="T139" s="791"/>
      <c r="U139" s="798">
        <f t="shared" si="45"/>
        <v>150</v>
      </c>
      <c r="V139" s="791"/>
      <c r="W139" s="791"/>
      <c r="X139" s="791">
        <v>150</v>
      </c>
      <c r="Y139" s="798">
        <f>Z139+AA139+AB139</f>
        <v>1846.1577900000002</v>
      </c>
      <c r="Z139" s="861"/>
      <c r="AA139" s="861"/>
      <c r="AB139" s="863">
        <f>1547.7-165.05+373.82179+429.94-24.519-307.177-8.558</f>
        <v>1846.1577900000002</v>
      </c>
      <c r="AC139" s="203">
        <f>AD139+AE139+AF139</f>
        <v>1556.6570100000001</v>
      </c>
      <c r="AD139" s="227"/>
      <c r="AE139" s="227"/>
      <c r="AF139" s="204">
        <f>355+101+986+705-131.1-459.24299</f>
        <v>1556.6570100000001</v>
      </c>
      <c r="AG139" s="204"/>
      <c r="AH139" s="1014"/>
      <c r="AI139" s="825"/>
      <c r="AJ139" s="825"/>
      <c r="AK139" s="987"/>
      <c r="AL139" s="913"/>
      <c r="AM139" s="913"/>
      <c r="AN139" s="913"/>
      <c r="AO139" s="913"/>
      <c r="AP139" s="913"/>
      <c r="AQ139" s="913"/>
      <c r="AR139" s="913"/>
      <c r="AS139" s="913"/>
    </row>
    <row r="140" spans="1:45" ht="54.75" customHeight="1" x14ac:dyDescent="0.25">
      <c r="A140" s="232"/>
      <c r="B140" s="397" t="s">
        <v>548</v>
      </c>
      <c r="C140" s="102" t="s">
        <v>582</v>
      </c>
      <c r="D140" s="26">
        <f t="shared" si="48"/>
        <v>0</v>
      </c>
      <c r="E140" s="24">
        <f t="shared" si="43"/>
        <v>0</v>
      </c>
      <c r="F140" s="24">
        <f t="shared" si="44"/>
        <v>0</v>
      </c>
      <c r="G140" s="26">
        <f t="shared" si="47"/>
        <v>0</v>
      </c>
      <c r="H140" s="24"/>
      <c r="I140" s="809"/>
      <c r="J140" s="809"/>
      <c r="K140" s="791"/>
      <c r="L140" s="791"/>
      <c r="M140" s="791"/>
      <c r="N140" s="791"/>
      <c r="O140" s="798"/>
      <c r="P140" s="798"/>
      <c r="Q140" s="798"/>
      <c r="R140" s="798"/>
      <c r="S140" s="791"/>
      <c r="T140" s="791"/>
      <c r="U140" s="798">
        <f t="shared" si="45"/>
        <v>0</v>
      </c>
      <c r="V140" s="791"/>
      <c r="W140" s="791"/>
      <c r="X140" s="791">
        <v>0</v>
      </c>
      <c r="Y140" s="798"/>
      <c r="Z140" s="861"/>
      <c r="AA140" s="861"/>
      <c r="AB140" s="861"/>
      <c r="AC140" s="203">
        <f t="shared" ref="AC140:AC153" si="49">AD140+AE140+AF140</f>
        <v>0</v>
      </c>
      <c r="AD140" s="227"/>
      <c r="AE140" s="227"/>
      <c r="AF140" s="204"/>
      <c r="AG140" s="204"/>
      <c r="AH140" s="1014"/>
      <c r="AI140" s="825"/>
      <c r="AJ140" s="825"/>
      <c r="AK140" s="987"/>
      <c r="AL140" s="913"/>
      <c r="AM140" s="913"/>
      <c r="AN140" s="913"/>
      <c r="AO140" s="913"/>
      <c r="AP140" s="913"/>
      <c r="AQ140" s="913"/>
      <c r="AR140" s="913"/>
      <c r="AS140" s="913"/>
    </row>
    <row r="141" spans="1:45" ht="36" customHeight="1" x14ac:dyDescent="0.25">
      <c r="A141" s="232"/>
      <c r="B141" s="70" t="s">
        <v>624</v>
      </c>
      <c r="C141" s="102" t="s">
        <v>678</v>
      </c>
      <c r="D141" s="26">
        <f t="shared" si="48"/>
        <v>5687.9122700000007</v>
      </c>
      <c r="E141" s="24">
        <f t="shared" si="43"/>
        <v>0</v>
      </c>
      <c r="F141" s="24">
        <f t="shared" si="44"/>
        <v>0</v>
      </c>
      <c r="G141" s="26">
        <f t="shared" si="47"/>
        <v>5687.9122700000007</v>
      </c>
      <c r="H141" s="24"/>
      <c r="I141" s="809"/>
      <c r="J141" s="809"/>
      <c r="K141" s="791"/>
      <c r="L141" s="791"/>
      <c r="M141" s="791"/>
      <c r="N141" s="791"/>
      <c r="O141" s="798"/>
      <c r="P141" s="798"/>
      <c r="Q141" s="798"/>
      <c r="R141" s="798"/>
      <c r="S141" s="791"/>
      <c r="T141" s="791"/>
      <c r="U141" s="798">
        <f t="shared" si="45"/>
        <v>703.42200000000003</v>
      </c>
      <c r="V141" s="791"/>
      <c r="W141" s="791"/>
      <c r="X141" s="791">
        <v>703.42200000000003</v>
      </c>
      <c r="Y141" s="798">
        <f>Z141+AA141+AB141</f>
        <v>2498.0000000000005</v>
      </c>
      <c r="Z141" s="861"/>
      <c r="AA141" s="861"/>
      <c r="AB141" s="863">
        <f>3125.3-173.2-454.1</f>
        <v>2498.0000000000005</v>
      </c>
      <c r="AC141" s="203">
        <f t="shared" si="49"/>
        <v>2486.4902699999998</v>
      </c>
      <c r="AD141" s="227"/>
      <c r="AE141" s="227"/>
      <c r="AF141" s="204">
        <f>3219+922.5-84.4-237.025-563.927-477.642-159.18277-132.83296</f>
        <v>2486.4902699999998</v>
      </c>
      <c r="AG141" s="204"/>
      <c r="AH141" s="1014"/>
      <c r="AI141" s="825"/>
      <c r="AJ141" s="825"/>
      <c r="AK141" s="987"/>
      <c r="AL141" s="913"/>
      <c r="AM141" s="913"/>
      <c r="AN141" s="913"/>
      <c r="AO141" s="913"/>
      <c r="AP141" s="913"/>
      <c r="AQ141" s="913"/>
      <c r="AR141" s="913"/>
      <c r="AS141" s="913"/>
    </row>
    <row r="142" spans="1:45" ht="30.6" customHeight="1" x14ac:dyDescent="0.25">
      <c r="A142" s="232"/>
      <c r="B142" s="70" t="s">
        <v>549</v>
      </c>
      <c r="C142" s="102" t="s">
        <v>88</v>
      </c>
      <c r="D142" s="26">
        <f t="shared" si="48"/>
        <v>43.1</v>
      </c>
      <c r="E142" s="24">
        <f t="shared" si="43"/>
        <v>0</v>
      </c>
      <c r="F142" s="24">
        <f t="shared" si="44"/>
        <v>0</v>
      </c>
      <c r="G142" s="26">
        <f t="shared" si="47"/>
        <v>43.1</v>
      </c>
      <c r="H142" s="24"/>
      <c r="I142" s="809"/>
      <c r="J142" s="809"/>
      <c r="K142" s="791"/>
      <c r="L142" s="791"/>
      <c r="M142" s="791"/>
      <c r="N142" s="791"/>
      <c r="O142" s="798"/>
      <c r="P142" s="798"/>
      <c r="Q142" s="798"/>
      <c r="R142" s="798"/>
      <c r="S142" s="791"/>
      <c r="T142" s="791"/>
      <c r="U142" s="798">
        <f t="shared" si="45"/>
        <v>43.1</v>
      </c>
      <c r="V142" s="791"/>
      <c r="W142" s="791"/>
      <c r="X142" s="791">
        <v>43.1</v>
      </c>
      <c r="Y142" s="798"/>
      <c r="Z142" s="861"/>
      <c r="AA142" s="861"/>
      <c r="AB142" s="861"/>
      <c r="AC142" s="203">
        <f t="shared" si="49"/>
        <v>0</v>
      </c>
      <c r="AD142" s="227"/>
      <c r="AE142" s="227"/>
      <c r="AF142" s="204"/>
      <c r="AG142" s="204"/>
      <c r="AH142" s="1014"/>
      <c r="AI142" s="825"/>
      <c r="AJ142" s="825"/>
      <c r="AK142" s="987"/>
      <c r="AL142" s="913"/>
      <c r="AM142" s="913"/>
      <c r="AN142" s="913"/>
      <c r="AO142" s="913"/>
      <c r="AP142" s="913"/>
      <c r="AQ142" s="913"/>
      <c r="AR142" s="913"/>
      <c r="AS142" s="913"/>
    </row>
    <row r="143" spans="1:45" ht="29.25" customHeight="1" x14ac:dyDescent="0.25">
      <c r="A143" s="232"/>
      <c r="B143" s="70" t="s">
        <v>33</v>
      </c>
      <c r="C143" s="102" t="s">
        <v>70</v>
      </c>
      <c r="D143" s="26">
        <f t="shared" si="48"/>
        <v>298.3</v>
      </c>
      <c r="E143" s="24">
        <f t="shared" si="43"/>
        <v>0</v>
      </c>
      <c r="F143" s="24">
        <f t="shared" si="44"/>
        <v>0</v>
      </c>
      <c r="G143" s="26">
        <f t="shared" si="47"/>
        <v>298.3</v>
      </c>
      <c r="H143" s="24"/>
      <c r="I143" s="809"/>
      <c r="J143" s="809"/>
      <c r="K143" s="791"/>
      <c r="L143" s="791"/>
      <c r="M143" s="791"/>
      <c r="N143" s="791"/>
      <c r="O143" s="798"/>
      <c r="P143" s="798"/>
      <c r="Q143" s="798"/>
      <c r="R143" s="798"/>
      <c r="S143" s="791"/>
      <c r="T143" s="791"/>
      <c r="U143" s="798">
        <f t="shared" si="45"/>
        <v>298.3</v>
      </c>
      <c r="V143" s="791"/>
      <c r="W143" s="791"/>
      <c r="X143" s="791">
        <v>298.3</v>
      </c>
      <c r="Y143" s="798">
        <f>Z143+AA143+AB143</f>
        <v>0</v>
      </c>
      <c r="Z143" s="861"/>
      <c r="AA143" s="861"/>
      <c r="AB143" s="861">
        <f>300.2-300.2</f>
        <v>0</v>
      </c>
      <c r="AC143" s="203">
        <f t="shared" si="49"/>
        <v>0</v>
      </c>
      <c r="AD143" s="1040"/>
      <c r="AE143" s="1040"/>
      <c r="AF143" s="1040"/>
      <c r="AG143" s="1040"/>
      <c r="AH143" s="928"/>
      <c r="AI143" s="928"/>
      <c r="AJ143" s="928"/>
      <c r="AK143" s="992"/>
      <c r="AL143" s="913"/>
      <c r="AM143" s="913"/>
      <c r="AN143" s="913"/>
      <c r="AO143" s="913"/>
      <c r="AP143" s="913"/>
      <c r="AQ143" s="913"/>
      <c r="AR143" s="913"/>
      <c r="AS143" s="913"/>
    </row>
    <row r="144" spans="1:45" ht="30" hidden="1" customHeight="1" x14ac:dyDescent="0.25">
      <c r="A144" s="232"/>
      <c r="B144" s="70"/>
      <c r="C144" s="102"/>
      <c r="D144" s="26">
        <f t="shared" si="48"/>
        <v>0</v>
      </c>
      <c r="E144" s="26"/>
      <c r="F144" s="26"/>
      <c r="G144" s="26">
        <f t="shared" si="47"/>
        <v>0</v>
      </c>
      <c r="H144" s="24"/>
      <c r="I144" s="809"/>
      <c r="J144" s="809"/>
      <c r="K144" s="791"/>
      <c r="L144" s="791"/>
      <c r="M144" s="791"/>
      <c r="N144" s="791"/>
      <c r="O144" s="798"/>
      <c r="P144" s="798"/>
      <c r="Q144" s="798"/>
      <c r="R144" s="798"/>
      <c r="S144" s="791"/>
      <c r="T144" s="791"/>
      <c r="U144" s="798">
        <f t="shared" si="45"/>
        <v>0</v>
      </c>
      <c r="V144" s="791"/>
      <c r="W144" s="791"/>
      <c r="X144" s="791"/>
      <c r="Y144" s="1202">
        <f t="shared" ref="Y144:Y149" si="50">Z144+AA144+AB144</f>
        <v>0</v>
      </c>
      <c r="Z144" s="861"/>
      <c r="AA144" s="861"/>
      <c r="AB144" s="861"/>
      <c r="AC144" s="203">
        <f t="shared" si="49"/>
        <v>0</v>
      </c>
      <c r="AD144" s="1040"/>
      <c r="AE144" s="1040"/>
      <c r="AF144" s="1040"/>
      <c r="AG144" s="1040"/>
      <c r="AH144" s="928"/>
      <c r="AI144" s="928"/>
      <c r="AJ144" s="928"/>
      <c r="AK144" s="992"/>
      <c r="AL144" s="913"/>
      <c r="AM144" s="913"/>
      <c r="AN144" s="913"/>
      <c r="AO144" s="913"/>
      <c r="AP144" s="913"/>
      <c r="AQ144" s="913"/>
      <c r="AR144" s="913"/>
      <c r="AS144" s="913"/>
    </row>
    <row r="145" spans="1:45" ht="36.75" customHeight="1" x14ac:dyDescent="0.25">
      <c r="A145" s="232"/>
      <c r="B145" s="70" t="s">
        <v>611</v>
      </c>
      <c r="C145" s="102" t="s">
        <v>446</v>
      </c>
      <c r="D145" s="26">
        <f t="shared" si="48"/>
        <v>250</v>
      </c>
      <c r="E145" s="24">
        <f t="shared" ref="E145:E154" si="51">J145+N145+R145+V145+Z145+AD145+AI145</f>
        <v>0</v>
      </c>
      <c r="F145" s="24">
        <f t="shared" ref="F145:F154" si="52">K145+O145+S145+W145+AA145+AE145+AJ145</f>
        <v>0</v>
      </c>
      <c r="G145" s="26">
        <f t="shared" si="47"/>
        <v>250</v>
      </c>
      <c r="H145" s="24"/>
      <c r="I145" s="809"/>
      <c r="J145" s="809"/>
      <c r="K145" s="791"/>
      <c r="L145" s="791"/>
      <c r="M145" s="791"/>
      <c r="N145" s="791"/>
      <c r="O145" s="798"/>
      <c r="P145" s="798"/>
      <c r="Q145" s="798"/>
      <c r="R145" s="798"/>
      <c r="S145" s="791"/>
      <c r="T145" s="791"/>
      <c r="U145" s="798">
        <f t="shared" si="45"/>
        <v>250</v>
      </c>
      <c r="V145" s="791"/>
      <c r="W145" s="791"/>
      <c r="X145" s="791">
        <v>250</v>
      </c>
      <c r="Y145" s="798">
        <f t="shared" si="50"/>
        <v>0</v>
      </c>
      <c r="Z145" s="861"/>
      <c r="AA145" s="861"/>
      <c r="AB145" s="861"/>
      <c r="AC145" s="203">
        <f t="shared" si="49"/>
        <v>0</v>
      </c>
      <c r="AD145" s="1040"/>
      <c r="AE145" s="1040"/>
      <c r="AF145" s="1040"/>
      <c r="AG145" s="1040"/>
      <c r="AH145" s="928"/>
      <c r="AI145" s="928"/>
      <c r="AJ145" s="928"/>
      <c r="AK145" s="992"/>
      <c r="AL145" s="913"/>
      <c r="AM145" s="913"/>
      <c r="AN145" s="913"/>
      <c r="AO145" s="913"/>
      <c r="AP145" s="913"/>
      <c r="AQ145" s="913"/>
      <c r="AR145" s="913"/>
      <c r="AS145" s="913"/>
    </row>
    <row r="146" spans="1:45" ht="36.75" customHeight="1" x14ac:dyDescent="0.25">
      <c r="A146" s="232"/>
      <c r="B146" s="70" t="s">
        <v>614</v>
      </c>
      <c r="C146" s="102" t="s">
        <v>615</v>
      </c>
      <c r="D146" s="26">
        <f t="shared" si="48"/>
        <v>0</v>
      </c>
      <c r="E146" s="24">
        <f t="shared" si="51"/>
        <v>0</v>
      </c>
      <c r="F146" s="24">
        <f t="shared" si="52"/>
        <v>0</v>
      </c>
      <c r="G146" s="26">
        <f t="shared" si="47"/>
        <v>0</v>
      </c>
      <c r="H146" s="24"/>
      <c r="I146" s="809"/>
      <c r="J146" s="809"/>
      <c r="K146" s="791"/>
      <c r="L146" s="791"/>
      <c r="M146" s="791"/>
      <c r="N146" s="791"/>
      <c r="O146" s="798"/>
      <c r="P146" s="798"/>
      <c r="Q146" s="798"/>
      <c r="R146" s="798"/>
      <c r="S146" s="791"/>
      <c r="T146" s="791"/>
      <c r="U146" s="798"/>
      <c r="V146" s="791"/>
      <c r="W146" s="791"/>
      <c r="X146" s="791"/>
      <c r="Y146" s="798">
        <f t="shared" si="50"/>
        <v>0</v>
      </c>
      <c r="Z146" s="861"/>
      <c r="AA146" s="861"/>
      <c r="AB146" s="861">
        <f>602.9-602.9</f>
        <v>0</v>
      </c>
      <c r="AC146" s="203">
        <f t="shared" si="49"/>
        <v>0</v>
      </c>
      <c r="AD146" s="1040"/>
      <c r="AE146" s="1040"/>
      <c r="AF146" s="1040"/>
      <c r="AG146" s="1040"/>
      <c r="AH146" s="928"/>
      <c r="AI146" s="928"/>
      <c r="AJ146" s="928"/>
      <c r="AK146" s="992"/>
      <c r="AL146" s="913"/>
      <c r="AM146" s="913"/>
      <c r="AN146" s="913"/>
      <c r="AO146" s="913"/>
      <c r="AP146" s="913"/>
      <c r="AQ146" s="913"/>
      <c r="AR146" s="913"/>
      <c r="AS146" s="913"/>
    </row>
    <row r="147" spans="1:45" ht="36.75" customHeight="1" x14ac:dyDescent="0.25">
      <c r="A147" s="232"/>
      <c r="B147" s="70" t="s">
        <v>616</v>
      </c>
      <c r="C147" s="102" t="s">
        <v>581</v>
      </c>
      <c r="D147" s="26">
        <f t="shared" si="48"/>
        <v>190</v>
      </c>
      <c r="E147" s="24">
        <f t="shared" si="51"/>
        <v>0</v>
      </c>
      <c r="F147" s="24">
        <f t="shared" si="52"/>
        <v>0</v>
      </c>
      <c r="G147" s="26">
        <f t="shared" si="47"/>
        <v>190</v>
      </c>
      <c r="H147" s="24"/>
      <c r="I147" s="809"/>
      <c r="J147" s="809"/>
      <c r="K147" s="791"/>
      <c r="L147" s="791"/>
      <c r="M147" s="791"/>
      <c r="N147" s="791"/>
      <c r="O147" s="798"/>
      <c r="P147" s="798"/>
      <c r="Q147" s="798"/>
      <c r="R147" s="798"/>
      <c r="S147" s="791"/>
      <c r="T147" s="791"/>
      <c r="U147" s="798"/>
      <c r="V147" s="791"/>
      <c r="W147" s="791"/>
      <c r="X147" s="791"/>
      <c r="Y147" s="798">
        <f t="shared" si="50"/>
        <v>190</v>
      </c>
      <c r="Z147" s="861"/>
      <c r="AA147" s="861"/>
      <c r="AB147" s="863">
        <f>197.8-6.59-1.21</f>
        <v>190</v>
      </c>
      <c r="AC147" s="203">
        <f t="shared" si="49"/>
        <v>0</v>
      </c>
      <c r="AD147" s="1040"/>
      <c r="AE147" s="1040"/>
      <c r="AF147" s="1040"/>
      <c r="AG147" s="1040"/>
      <c r="AH147" s="928"/>
      <c r="AI147" s="928"/>
      <c r="AJ147" s="928"/>
      <c r="AK147" s="992"/>
      <c r="AL147" s="913"/>
      <c r="AM147" s="913"/>
      <c r="AN147" s="913"/>
      <c r="AO147" s="913"/>
      <c r="AP147" s="913"/>
      <c r="AQ147" s="913"/>
      <c r="AR147" s="913"/>
      <c r="AS147" s="913"/>
    </row>
    <row r="148" spans="1:45" ht="36.75" customHeight="1" x14ac:dyDescent="0.25">
      <c r="A148" s="232"/>
      <c r="B148" s="70" t="s">
        <v>643</v>
      </c>
      <c r="C148" s="102" t="s">
        <v>618</v>
      </c>
      <c r="D148" s="26">
        <f t="shared" si="48"/>
        <v>161.53199999999998</v>
      </c>
      <c r="E148" s="24">
        <f t="shared" si="51"/>
        <v>0</v>
      </c>
      <c r="F148" s="24">
        <f t="shared" si="52"/>
        <v>0</v>
      </c>
      <c r="G148" s="26">
        <f t="shared" si="47"/>
        <v>161.53199999999998</v>
      </c>
      <c r="H148" s="24"/>
      <c r="I148" s="809"/>
      <c r="J148" s="809"/>
      <c r="K148" s="791"/>
      <c r="L148" s="791"/>
      <c r="M148" s="791"/>
      <c r="N148" s="791"/>
      <c r="O148" s="798"/>
      <c r="P148" s="798"/>
      <c r="Q148" s="798"/>
      <c r="R148" s="798"/>
      <c r="S148" s="791"/>
      <c r="T148" s="791"/>
      <c r="U148" s="798"/>
      <c r="V148" s="791"/>
      <c r="W148" s="791"/>
      <c r="X148" s="791"/>
      <c r="Y148" s="798">
        <f t="shared" si="50"/>
        <v>161.53199999999998</v>
      </c>
      <c r="Z148" s="861"/>
      <c r="AA148" s="861"/>
      <c r="AB148" s="863">
        <f>246-2.9-81.568</f>
        <v>161.53199999999998</v>
      </c>
      <c r="AC148" s="203">
        <f t="shared" si="49"/>
        <v>0</v>
      </c>
      <c r="AD148" s="1040"/>
      <c r="AE148" s="1040"/>
      <c r="AF148" s="1040"/>
      <c r="AG148" s="1040"/>
      <c r="AH148" s="928"/>
      <c r="AI148" s="928"/>
      <c r="AJ148" s="928"/>
      <c r="AK148" s="992"/>
      <c r="AL148" s="913"/>
      <c r="AM148" s="913"/>
      <c r="AN148" s="913"/>
      <c r="AO148" s="913"/>
      <c r="AP148" s="913"/>
      <c r="AQ148" s="913"/>
      <c r="AR148" s="913"/>
      <c r="AS148" s="913"/>
    </row>
    <row r="149" spans="1:45" ht="36.75" customHeight="1" x14ac:dyDescent="0.25">
      <c r="A149" s="232"/>
      <c r="B149" s="70" t="s">
        <v>644</v>
      </c>
      <c r="C149" s="102" t="s">
        <v>470</v>
      </c>
      <c r="D149" s="26">
        <f t="shared" si="48"/>
        <v>0</v>
      </c>
      <c r="E149" s="24">
        <f t="shared" si="51"/>
        <v>0</v>
      </c>
      <c r="F149" s="24">
        <f t="shared" si="52"/>
        <v>0</v>
      </c>
      <c r="G149" s="26">
        <f t="shared" si="47"/>
        <v>0</v>
      </c>
      <c r="H149" s="24"/>
      <c r="I149" s="809"/>
      <c r="J149" s="809"/>
      <c r="K149" s="791"/>
      <c r="L149" s="791"/>
      <c r="M149" s="791"/>
      <c r="N149" s="791"/>
      <c r="O149" s="798"/>
      <c r="P149" s="798"/>
      <c r="Q149" s="798"/>
      <c r="R149" s="798"/>
      <c r="S149" s="791"/>
      <c r="T149" s="791"/>
      <c r="U149" s="798"/>
      <c r="V149" s="791"/>
      <c r="W149" s="791"/>
      <c r="X149" s="791"/>
      <c r="Y149" s="798">
        <f t="shared" si="50"/>
        <v>0</v>
      </c>
      <c r="Z149" s="861"/>
      <c r="AA149" s="861"/>
      <c r="AB149" s="863">
        <v>0</v>
      </c>
      <c r="AC149" s="1015">
        <f t="shared" si="49"/>
        <v>0</v>
      </c>
      <c r="AD149" s="198"/>
      <c r="AE149" s="198"/>
      <c r="AF149" s="198"/>
      <c r="AG149" s="198"/>
      <c r="AH149" s="825"/>
      <c r="AI149" s="825"/>
      <c r="AJ149" s="825"/>
      <c r="AK149" s="987"/>
      <c r="AL149" s="913"/>
      <c r="AM149" s="913"/>
      <c r="AN149" s="913"/>
      <c r="AO149" s="913"/>
      <c r="AP149" s="913"/>
      <c r="AQ149" s="913"/>
      <c r="AR149" s="913"/>
      <c r="AS149" s="913"/>
    </row>
    <row r="150" spans="1:45" ht="36.75" customHeight="1" x14ac:dyDescent="0.25">
      <c r="A150" s="232"/>
      <c r="B150" s="70" t="s">
        <v>681</v>
      </c>
      <c r="C150" s="102" t="s">
        <v>682</v>
      </c>
      <c r="D150" s="26">
        <f t="shared" si="48"/>
        <v>459.47791000000007</v>
      </c>
      <c r="E150" s="24">
        <f t="shared" si="51"/>
        <v>0</v>
      </c>
      <c r="F150" s="24">
        <f t="shared" si="52"/>
        <v>0</v>
      </c>
      <c r="G150" s="26">
        <f t="shared" si="47"/>
        <v>459.47791000000007</v>
      </c>
      <c r="H150" s="24"/>
      <c r="I150" s="809"/>
      <c r="J150" s="809"/>
      <c r="K150" s="791"/>
      <c r="L150" s="791"/>
      <c r="M150" s="791"/>
      <c r="N150" s="791"/>
      <c r="O150" s="798"/>
      <c r="P150" s="798"/>
      <c r="Q150" s="798"/>
      <c r="R150" s="798"/>
      <c r="S150" s="791"/>
      <c r="T150" s="791"/>
      <c r="U150" s="798"/>
      <c r="V150" s="791"/>
      <c r="W150" s="791"/>
      <c r="X150" s="791"/>
      <c r="Y150" s="798"/>
      <c r="Z150" s="861"/>
      <c r="AA150" s="861"/>
      <c r="AB150" s="863"/>
      <c r="AC150" s="203">
        <f t="shared" si="49"/>
        <v>459.47791000000007</v>
      </c>
      <c r="AD150" s="198"/>
      <c r="AE150" s="198"/>
      <c r="AF150" s="889">
        <f>387+200.5-23.8-104.22209</f>
        <v>459.47791000000007</v>
      </c>
      <c r="AG150" s="260"/>
      <c r="AH150" s="825"/>
      <c r="AI150" s="825"/>
      <c r="AJ150" s="825"/>
      <c r="AK150" s="987"/>
      <c r="AL150" s="913"/>
      <c r="AM150" s="1030"/>
      <c r="AN150" s="1030"/>
      <c r="AO150" s="1030"/>
      <c r="AP150" s="913"/>
      <c r="AQ150" s="913"/>
      <c r="AR150" s="913"/>
      <c r="AS150" s="913"/>
    </row>
    <row r="151" spans="1:45" ht="36.75" customHeight="1" x14ac:dyDescent="0.25">
      <c r="A151" s="232"/>
      <c r="B151" s="70" t="s">
        <v>683</v>
      </c>
      <c r="C151" s="102" t="s">
        <v>684</v>
      </c>
      <c r="D151" s="26">
        <f t="shared" si="48"/>
        <v>281.74517000000003</v>
      </c>
      <c r="E151" s="24">
        <f t="shared" si="51"/>
        <v>0</v>
      </c>
      <c r="F151" s="24">
        <f t="shared" si="52"/>
        <v>0</v>
      </c>
      <c r="G151" s="26">
        <f t="shared" si="47"/>
        <v>281.74517000000003</v>
      </c>
      <c r="H151" s="24"/>
      <c r="I151" s="809"/>
      <c r="J151" s="809"/>
      <c r="K151" s="791"/>
      <c r="L151" s="791"/>
      <c r="M151" s="791"/>
      <c r="N151" s="791"/>
      <c r="O151" s="798"/>
      <c r="P151" s="798"/>
      <c r="Q151" s="798"/>
      <c r="R151" s="798"/>
      <c r="S151" s="791"/>
      <c r="T151" s="791"/>
      <c r="U151" s="798"/>
      <c r="V151" s="791"/>
      <c r="W151" s="791"/>
      <c r="X151" s="791"/>
      <c r="Y151" s="798"/>
      <c r="Z151" s="861"/>
      <c r="AA151" s="861"/>
      <c r="AB151" s="863"/>
      <c r="AC151" s="203">
        <f t="shared" si="49"/>
        <v>281.74517000000003</v>
      </c>
      <c r="AD151" s="198"/>
      <c r="AE151" s="198"/>
      <c r="AF151" s="624">
        <f>375-11.2-82.05483</f>
        <v>281.74517000000003</v>
      </c>
      <c r="AG151" s="624"/>
      <c r="AH151" s="825"/>
      <c r="AI151" s="825"/>
      <c r="AJ151" s="825"/>
      <c r="AK151" s="987"/>
      <c r="AL151" s="913"/>
      <c r="AM151" s="1030"/>
      <c r="AN151" s="1030"/>
      <c r="AO151" s="1030"/>
      <c r="AP151" s="913"/>
      <c r="AQ151" s="913"/>
      <c r="AR151" s="913"/>
      <c r="AS151" s="913"/>
    </row>
    <row r="152" spans="1:45" ht="36.75" customHeight="1" x14ac:dyDescent="0.25">
      <c r="A152" s="232"/>
      <c r="B152" s="70" t="s">
        <v>685</v>
      </c>
      <c r="C152" s="102" t="s">
        <v>686</v>
      </c>
      <c r="D152" s="26">
        <f t="shared" si="48"/>
        <v>43.8</v>
      </c>
      <c r="E152" s="24">
        <f t="shared" si="51"/>
        <v>0</v>
      </c>
      <c r="F152" s="24">
        <f t="shared" si="52"/>
        <v>0</v>
      </c>
      <c r="G152" s="26">
        <f t="shared" si="47"/>
        <v>43.8</v>
      </c>
      <c r="H152" s="24"/>
      <c r="I152" s="809"/>
      <c r="J152" s="809"/>
      <c r="K152" s="791"/>
      <c r="L152" s="791"/>
      <c r="M152" s="791"/>
      <c r="N152" s="791"/>
      <c r="O152" s="798"/>
      <c r="P152" s="798"/>
      <c r="Q152" s="798"/>
      <c r="R152" s="798"/>
      <c r="S152" s="791"/>
      <c r="T152" s="791"/>
      <c r="U152" s="798"/>
      <c r="V152" s="791"/>
      <c r="W152" s="791"/>
      <c r="X152" s="791"/>
      <c r="Y152" s="798"/>
      <c r="Z152" s="861"/>
      <c r="AA152" s="861"/>
      <c r="AB152" s="863"/>
      <c r="AC152" s="203">
        <f t="shared" si="49"/>
        <v>43.8</v>
      </c>
      <c r="AD152" s="198"/>
      <c r="AE152" s="198"/>
      <c r="AF152" s="832">
        <f>40+3.8</f>
        <v>43.8</v>
      </c>
      <c r="AG152" s="832"/>
      <c r="AH152" s="825"/>
      <c r="AI152" s="825"/>
      <c r="AJ152" s="825"/>
      <c r="AK152" s="987"/>
      <c r="AL152" s="913"/>
      <c r="AM152" s="1030"/>
      <c r="AN152" s="1030"/>
      <c r="AO152" s="1030"/>
      <c r="AP152" s="913"/>
      <c r="AQ152" s="913"/>
      <c r="AR152" s="913"/>
      <c r="AS152" s="913"/>
    </row>
    <row r="153" spans="1:45" ht="36.75" customHeight="1" x14ac:dyDescent="0.25">
      <c r="A153" s="232"/>
      <c r="B153" s="70" t="s">
        <v>698</v>
      </c>
      <c r="C153" s="74" t="s">
        <v>43</v>
      </c>
      <c r="D153" s="26">
        <f t="shared" si="48"/>
        <v>0</v>
      </c>
      <c r="E153" s="24">
        <f t="shared" si="51"/>
        <v>0</v>
      </c>
      <c r="F153" s="24">
        <f t="shared" si="52"/>
        <v>0</v>
      </c>
      <c r="G153" s="26">
        <f t="shared" si="47"/>
        <v>0</v>
      </c>
      <c r="H153" s="24"/>
      <c r="I153" s="809"/>
      <c r="J153" s="809"/>
      <c r="K153" s="791"/>
      <c r="L153" s="791"/>
      <c r="M153" s="791"/>
      <c r="N153" s="791"/>
      <c r="O153" s="798"/>
      <c r="P153" s="798"/>
      <c r="Q153" s="798"/>
      <c r="R153" s="798"/>
      <c r="S153" s="791"/>
      <c r="T153" s="791"/>
      <c r="U153" s="798"/>
      <c r="V153" s="791"/>
      <c r="W153" s="791"/>
      <c r="X153" s="791"/>
      <c r="Y153" s="798"/>
      <c r="Z153" s="861"/>
      <c r="AA153" s="861"/>
      <c r="AB153" s="863"/>
      <c r="AC153" s="1063">
        <f t="shared" si="49"/>
        <v>0</v>
      </c>
      <c r="AD153" s="98"/>
      <c r="AE153" s="98"/>
      <c r="AF153" s="832">
        <f>50-50</f>
        <v>0</v>
      </c>
      <c r="AG153" s="832"/>
      <c r="AH153" s="825"/>
      <c r="AI153" s="825"/>
      <c r="AJ153" s="825"/>
      <c r="AK153" s="987"/>
      <c r="AL153" s="913"/>
      <c r="AM153" s="1030"/>
      <c r="AN153" s="1030"/>
      <c r="AO153" s="1030"/>
      <c r="AP153" s="913"/>
      <c r="AQ153" s="913"/>
      <c r="AR153" s="913"/>
      <c r="AS153" s="913"/>
    </row>
    <row r="154" spans="1:45" ht="36.75" customHeight="1" x14ac:dyDescent="0.25">
      <c r="A154" s="232"/>
      <c r="B154" s="70" t="s">
        <v>785</v>
      </c>
      <c r="C154" s="74" t="s">
        <v>446</v>
      </c>
      <c r="D154" s="26">
        <f t="shared" si="48"/>
        <v>250</v>
      </c>
      <c r="E154" s="24">
        <f t="shared" si="51"/>
        <v>0</v>
      </c>
      <c r="F154" s="24">
        <f t="shared" si="52"/>
        <v>0</v>
      </c>
      <c r="G154" s="26">
        <f t="shared" si="47"/>
        <v>250</v>
      </c>
      <c r="H154" s="24"/>
      <c r="I154" s="809"/>
      <c r="J154" s="809"/>
      <c r="K154" s="791"/>
      <c r="L154" s="791"/>
      <c r="M154" s="791"/>
      <c r="N154" s="791"/>
      <c r="O154" s="798"/>
      <c r="P154" s="798"/>
      <c r="Q154" s="798"/>
      <c r="R154" s="798"/>
      <c r="S154" s="791"/>
      <c r="T154" s="791"/>
      <c r="U154" s="798"/>
      <c r="V154" s="791"/>
      <c r="W154" s="791"/>
      <c r="X154" s="791"/>
      <c r="Y154" s="798"/>
      <c r="Z154" s="861"/>
      <c r="AA154" s="861"/>
      <c r="AB154" s="863"/>
      <c r="AC154" s="1063"/>
      <c r="AD154" s="98"/>
      <c r="AE154" s="98"/>
      <c r="AF154" s="832"/>
      <c r="AG154" s="832"/>
      <c r="AH154" s="749">
        <f>AI154+AJ154+AK154</f>
        <v>250</v>
      </c>
      <c r="AI154" s="749"/>
      <c r="AJ154" s="749"/>
      <c r="AK154" s="984">
        <v>250</v>
      </c>
      <c r="AL154" s="913"/>
      <c r="AM154" s="1030"/>
      <c r="AN154" s="1030"/>
      <c r="AO154" s="1030"/>
      <c r="AP154" s="913"/>
      <c r="AQ154" s="913"/>
      <c r="AR154" s="913"/>
      <c r="AS154" s="913"/>
    </row>
    <row r="155" spans="1:45" ht="53.45" customHeight="1" x14ac:dyDescent="0.2">
      <c r="A155" s="150" t="s">
        <v>197</v>
      </c>
      <c r="B155" s="149" t="s">
        <v>66</v>
      </c>
      <c r="C155" s="149"/>
      <c r="D155" s="205">
        <f t="shared" ref="D155:D163" si="53">E155+F155+G155</f>
        <v>15505.780860000001</v>
      </c>
      <c r="E155" s="22">
        <f>J155+N155+R155+V155+Z155+AD155+AI155+AM155+AQ155</f>
        <v>0</v>
      </c>
      <c r="F155" s="22">
        <f>K155+O155+S155+W155+AA155+AE155+AJ155+AN155+AR155</f>
        <v>0</v>
      </c>
      <c r="G155" s="22">
        <f t="shared" si="47"/>
        <v>15505.780860000001</v>
      </c>
      <c r="H155" s="22"/>
      <c r="I155" s="810"/>
      <c r="J155" s="810"/>
      <c r="K155" s="800"/>
      <c r="L155" s="800"/>
      <c r="M155" s="800">
        <f>N155+O155+P155</f>
        <v>148</v>
      </c>
      <c r="N155" s="800"/>
      <c r="O155" s="800"/>
      <c r="P155" s="800">
        <v>148</v>
      </c>
      <c r="Q155" s="811">
        <f>R155+S155+T155</f>
        <v>358.15999999999997</v>
      </c>
      <c r="R155" s="811"/>
      <c r="S155" s="800">
        <f>S156</f>
        <v>0</v>
      </c>
      <c r="T155" s="800">
        <f>T156+T157+T158+T159+T160+T162</f>
        <v>358.15999999999997</v>
      </c>
      <c r="U155" s="801">
        <f>V155+W155+X155</f>
        <v>452.84100000000001</v>
      </c>
      <c r="V155" s="800">
        <f>V156+V157+V158+V159</f>
        <v>0</v>
      </c>
      <c r="W155" s="800">
        <f>W156+W157+W158+W159</f>
        <v>0</v>
      </c>
      <c r="X155" s="800">
        <f>X156+X157+X158+X159+X163</f>
        <v>452.84100000000001</v>
      </c>
      <c r="Y155" s="811">
        <f>Z155+AA155+AB155</f>
        <v>3364.502</v>
      </c>
      <c r="Z155" s="800">
        <f>Z156+Z157+Z158+Z159+Z163</f>
        <v>0</v>
      </c>
      <c r="AA155" s="800">
        <f>AA156+AA157+AA158+AA159+AA163</f>
        <v>0</v>
      </c>
      <c r="AB155" s="800">
        <f>AB156+AB157+AB158+AB159+AB163</f>
        <v>3364.502</v>
      </c>
      <c r="AC155" s="662">
        <f>AD155+AE155+AF155</f>
        <v>8592.6758599999994</v>
      </c>
      <c r="AD155" s="205">
        <f>AD156+AD157+AD158+AD159+AD163</f>
        <v>0</v>
      </c>
      <c r="AE155" s="205">
        <f>AE156+AE157+AE158+AE159+AE163</f>
        <v>0</v>
      </c>
      <c r="AF155" s="888">
        <f>AF156+AF157+AF158+AF159+AF160+AF161+AF162+AF163</f>
        <v>8592.6758599999994</v>
      </c>
      <c r="AG155" s="888"/>
      <c r="AH155" s="1531">
        <f>AI155+AJ155+AK155</f>
        <v>2589.6020000000003</v>
      </c>
      <c r="AI155" s="205">
        <f>AI156+AI157+AI158+AI159+AI163</f>
        <v>0</v>
      </c>
      <c r="AJ155" s="205">
        <f>AJ156+AJ157+AJ158+AJ159+AJ163</f>
        <v>0</v>
      </c>
      <c r="AK155" s="1532">
        <f>AK156+AK157+AK158+AK159+AK163</f>
        <v>2589.6020000000003</v>
      </c>
      <c r="AL155" s="995">
        <f>AM155+AN155+AO155</f>
        <v>0</v>
      </c>
      <c r="AM155" s="988">
        <f>AM156+AM157+AM158+AM159+AM163</f>
        <v>0</v>
      </c>
      <c r="AN155" s="988">
        <f>AN156+AN157+AN158+AN159+AN163</f>
        <v>0</v>
      </c>
      <c r="AO155" s="988">
        <f>AO156+AO157+AO158+AO159+AO163</f>
        <v>0</v>
      </c>
      <c r="AP155" s="995">
        <f>AQ155+AR155+AS155</f>
        <v>0</v>
      </c>
      <c r="AQ155" s="205">
        <f>AQ156+AQ157+AQ158+AQ159+AQ163</f>
        <v>0</v>
      </c>
      <c r="AR155" s="205">
        <f>AR156+AR157+AR158+AR159+AR163</f>
        <v>0</v>
      </c>
      <c r="AS155" s="205">
        <f>AS156+AS157+AS158+AS159+AS163</f>
        <v>0</v>
      </c>
    </row>
    <row r="156" spans="1:45" ht="50.25" customHeight="1" x14ac:dyDescent="0.25">
      <c r="A156" s="1520"/>
      <c r="B156" s="127" t="s">
        <v>790</v>
      </c>
      <c r="C156" s="127" t="s">
        <v>43</v>
      </c>
      <c r="D156" s="26">
        <f t="shared" si="53"/>
        <v>7990.46486</v>
      </c>
      <c r="E156" s="24">
        <f t="shared" ref="E156:F160" si="54">J156+N156+R156+V156+Z156+AD156+AI156</f>
        <v>0</v>
      </c>
      <c r="F156" s="24">
        <f t="shared" si="54"/>
        <v>0</v>
      </c>
      <c r="G156" s="24">
        <f t="shared" si="47"/>
        <v>7990.46486</v>
      </c>
      <c r="H156" s="24"/>
      <c r="I156" s="809"/>
      <c r="J156" s="809"/>
      <c r="K156" s="809"/>
      <c r="L156" s="809"/>
      <c r="M156" s="791">
        <f>N156+O156+P156</f>
        <v>148</v>
      </c>
      <c r="N156" s="791"/>
      <c r="O156" s="791"/>
      <c r="P156" s="791">
        <f>P157+P158</f>
        <v>148</v>
      </c>
      <c r="Q156" s="791">
        <f>Q157+Q158</f>
        <v>0</v>
      </c>
      <c r="R156" s="791">
        <f>R157+R158</f>
        <v>0</v>
      </c>
      <c r="S156" s="791">
        <f>S157+S158</f>
        <v>0</v>
      </c>
      <c r="T156" s="791">
        <f>T157+T158</f>
        <v>0</v>
      </c>
      <c r="U156" s="798">
        <f>V156+W156+X156</f>
        <v>0</v>
      </c>
      <c r="V156" s="791"/>
      <c r="W156" s="791"/>
      <c r="X156" s="800"/>
      <c r="Y156" s="863">
        <f>AA156+Z156+AB156</f>
        <v>2459.5</v>
      </c>
      <c r="Z156" s="861"/>
      <c r="AA156" s="861"/>
      <c r="AB156" s="863">
        <f>2899-213-77.1-149.4</f>
        <v>2459.5</v>
      </c>
      <c r="AC156" s="203">
        <f t="shared" ref="AC156:AC163" si="55">AD156+AE156+AF156</f>
        <v>2793.3628600000002</v>
      </c>
      <c r="AD156" s="198"/>
      <c r="AE156" s="198"/>
      <c r="AF156" s="624">
        <f>3400+168-677.63714-97</f>
        <v>2793.3628600000002</v>
      </c>
      <c r="AG156" s="624"/>
      <c r="AH156" s="749">
        <f>SUM(AI156:AK156)</f>
        <v>2589.6020000000003</v>
      </c>
      <c r="AI156" s="825"/>
      <c r="AJ156" s="825"/>
      <c r="AK156" s="984">
        <f>2448.8+140.802</f>
        <v>2589.6020000000003</v>
      </c>
      <c r="AL156" s="913"/>
      <c r="AM156" s="913"/>
      <c r="AN156" s="913"/>
      <c r="AO156" s="913"/>
      <c r="AP156" s="913"/>
      <c r="AQ156" s="913"/>
      <c r="AR156" s="913"/>
      <c r="AS156" s="913"/>
    </row>
    <row r="157" spans="1:45" ht="27" customHeight="1" x14ac:dyDescent="0.25">
      <c r="A157" s="232"/>
      <c r="B157" s="102" t="s">
        <v>106</v>
      </c>
      <c r="C157" s="102" t="s">
        <v>107</v>
      </c>
      <c r="D157" s="26">
        <f t="shared" si="53"/>
        <v>148</v>
      </c>
      <c r="E157" s="24">
        <f t="shared" si="54"/>
        <v>0</v>
      </c>
      <c r="F157" s="24">
        <f t="shared" si="54"/>
        <v>0</v>
      </c>
      <c r="G157" s="24">
        <f t="shared" si="47"/>
        <v>148</v>
      </c>
      <c r="H157" s="24"/>
      <c r="I157" s="791"/>
      <c r="J157" s="791"/>
      <c r="K157" s="791"/>
      <c r="L157" s="791"/>
      <c r="M157" s="791">
        <f>N157+O157+P157</f>
        <v>148</v>
      </c>
      <c r="N157" s="791"/>
      <c r="O157" s="791"/>
      <c r="P157" s="791">
        <v>148</v>
      </c>
      <c r="Q157" s="791">
        <f>R157+S157+T157</f>
        <v>0</v>
      </c>
      <c r="R157" s="802"/>
      <c r="S157" s="809"/>
      <c r="T157" s="791"/>
      <c r="U157" s="798">
        <f>V157+W157+X157</f>
        <v>0</v>
      </c>
      <c r="V157" s="791"/>
      <c r="W157" s="791"/>
      <c r="X157" s="800"/>
      <c r="Y157" s="863"/>
      <c r="Z157" s="861"/>
      <c r="AA157" s="861"/>
      <c r="AB157" s="861"/>
      <c r="AC157" s="203">
        <f t="shared" si="55"/>
        <v>0</v>
      </c>
      <c r="AD157" s="198"/>
      <c r="AE157" s="198"/>
      <c r="AF157" s="624"/>
      <c r="AG157" s="624"/>
      <c r="AH157" s="825"/>
      <c r="AI157" s="825"/>
      <c r="AJ157" s="825"/>
      <c r="AK157" s="987"/>
      <c r="AL157" s="913"/>
      <c r="AM157" s="913"/>
      <c r="AN157" s="913"/>
      <c r="AO157" s="913"/>
      <c r="AP157" s="913"/>
      <c r="AQ157" s="913"/>
      <c r="AR157" s="913"/>
      <c r="AS157" s="913"/>
    </row>
    <row r="158" spans="1:45" ht="36.75" x14ac:dyDescent="0.25">
      <c r="A158" s="232"/>
      <c r="B158" s="102" t="s">
        <v>106</v>
      </c>
      <c r="C158" s="102" t="s">
        <v>613</v>
      </c>
      <c r="D158" s="26">
        <f t="shared" si="53"/>
        <v>39.735999999999997</v>
      </c>
      <c r="E158" s="24">
        <f t="shared" si="54"/>
        <v>0</v>
      </c>
      <c r="F158" s="24">
        <f t="shared" si="54"/>
        <v>0</v>
      </c>
      <c r="G158" s="24">
        <f t="shared" si="47"/>
        <v>39.735999999999997</v>
      </c>
      <c r="H158" s="24"/>
      <c r="I158" s="791"/>
      <c r="J158" s="791"/>
      <c r="K158" s="791"/>
      <c r="L158" s="791"/>
      <c r="M158" s="791"/>
      <c r="N158" s="791"/>
      <c r="O158" s="791"/>
      <c r="P158" s="791"/>
      <c r="Q158" s="791">
        <f>R158+S158+T158</f>
        <v>0</v>
      </c>
      <c r="R158" s="802"/>
      <c r="S158" s="809"/>
      <c r="T158" s="791"/>
      <c r="U158" s="798">
        <f>V158+W158+X158</f>
        <v>39.735999999999997</v>
      </c>
      <c r="V158" s="791"/>
      <c r="W158" s="791"/>
      <c r="X158" s="791">
        <v>39.735999999999997</v>
      </c>
      <c r="Y158" s="863"/>
      <c r="Z158" s="861"/>
      <c r="AA158" s="861"/>
      <c r="AB158" s="861"/>
      <c r="AC158" s="203">
        <f t="shared" si="55"/>
        <v>0</v>
      </c>
      <c r="AD158" s="198"/>
      <c r="AE158" s="198"/>
      <c r="AF158" s="624"/>
      <c r="AG158" s="624"/>
      <c r="AH158" s="825"/>
      <c r="AI158" s="825"/>
      <c r="AJ158" s="825"/>
      <c r="AK158" s="987"/>
      <c r="AL158" s="913"/>
      <c r="AM158" s="913"/>
      <c r="AN158" s="913"/>
      <c r="AO158" s="913"/>
      <c r="AP158" s="913"/>
      <c r="AQ158" s="913"/>
      <c r="AR158" s="913"/>
      <c r="AS158" s="913"/>
    </row>
    <row r="159" spans="1:45" ht="24.75" x14ac:dyDescent="0.25">
      <c r="A159" s="232"/>
      <c r="B159" s="102" t="s">
        <v>351</v>
      </c>
      <c r="C159" s="102" t="s">
        <v>17</v>
      </c>
      <c r="D159" s="26">
        <f t="shared" si="53"/>
        <v>30</v>
      </c>
      <c r="E159" s="24">
        <f t="shared" si="54"/>
        <v>0</v>
      </c>
      <c r="F159" s="24">
        <f t="shared" si="54"/>
        <v>0</v>
      </c>
      <c r="G159" s="24">
        <f t="shared" si="47"/>
        <v>30</v>
      </c>
      <c r="H159" s="24"/>
      <c r="I159" s="791"/>
      <c r="J159" s="791"/>
      <c r="K159" s="791"/>
      <c r="L159" s="791"/>
      <c r="M159" s="791"/>
      <c r="N159" s="791"/>
      <c r="O159" s="791"/>
      <c r="P159" s="791"/>
      <c r="Q159" s="791">
        <f>R159+S159+T159</f>
        <v>30</v>
      </c>
      <c r="R159" s="802"/>
      <c r="S159" s="809"/>
      <c r="T159" s="791">
        <v>30</v>
      </c>
      <c r="U159" s="791"/>
      <c r="V159" s="791"/>
      <c r="W159" s="791"/>
      <c r="X159" s="800"/>
      <c r="Y159" s="863"/>
      <c r="Z159" s="861"/>
      <c r="AA159" s="861"/>
      <c r="AB159" s="861"/>
      <c r="AC159" s="203">
        <f t="shared" si="55"/>
        <v>0</v>
      </c>
      <c r="AD159" s="198"/>
      <c r="AE159" s="198"/>
      <c r="AF159" s="624"/>
      <c r="AG159" s="624"/>
      <c r="AH159" s="825"/>
      <c r="AI159" s="825"/>
      <c r="AJ159" s="825"/>
      <c r="AK159" s="987"/>
      <c r="AL159" s="913"/>
      <c r="AM159" s="913"/>
      <c r="AN159" s="913"/>
      <c r="AO159" s="913"/>
      <c r="AP159" s="913"/>
      <c r="AQ159" s="913"/>
      <c r="AR159" s="913"/>
      <c r="AS159" s="913"/>
    </row>
    <row r="160" spans="1:45" ht="36.75" x14ac:dyDescent="0.25">
      <c r="A160" s="232"/>
      <c r="B160" s="74" t="s">
        <v>556</v>
      </c>
      <c r="C160" s="74" t="s">
        <v>701</v>
      </c>
      <c r="D160" s="26">
        <f t="shared" si="53"/>
        <v>406.96000000000004</v>
      </c>
      <c r="E160" s="24">
        <f t="shared" si="54"/>
        <v>0</v>
      </c>
      <c r="F160" s="24">
        <f t="shared" si="54"/>
        <v>0</v>
      </c>
      <c r="G160" s="24">
        <f t="shared" si="47"/>
        <v>406.96000000000004</v>
      </c>
      <c r="H160" s="24"/>
      <c r="I160" s="791"/>
      <c r="J160" s="791"/>
      <c r="K160" s="791"/>
      <c r="L160" s="791"/>
      <c r="M160" s="791"/>
      <c r="N160" s="791"/>
      <c r="O160" s="791"/>
      <c r="P160" s="791"/>
      <c r="Q160" s="791">
        <f>R160+S160+T160</f>
        <v>78.16</v>
      </c>
      <c r="R160" s="802"/>
      <c r="S160" s="809"/>
      <c r="T160" s="791">
        <v>78.16</v>
      </c>
      <c r="U160" s="791"/>
      <c r="V160" s="791"/>
      <c r="W160" s="791"/>
      <c r="X160" s="800"/>
      <c r="Y160" s="863"/>
      <c r="Z160" s="861"/>
      <c r="AA160" s="861"/>
      <c r="AB160" s="861"/>
      <c r="AC160" s="1063">
        <f t="shared" si="55"/>
        <v>328.8</v>
      </c>
      <c r="AD160" s="98"/>
      <c r="AE160" s="98"/>
      <c r="AF160" s="889">
        <v>328.8</v>
      </c>
      <c r="AG160" s="624"/>
      <c r="AH160" s="825"/>
      <c r="AI160" s="825"/>
      <c r="AJ160" s="825"/>
      <c r="AK160" s="987"/>
      <c r="AL160" s="913"/>
      <c r="AM160" s="913"/>
      <c r="AN160" s="913"/>
      <c r="AO160" s="913"/>
      <c r="AP160" s="913"/>
      <c r="AQ160" s="913"/>
      <c r="AR160" s="913"/>
      <c r="AS160" s="913"/>
    </row>
    <row r="161" spans="1:45" ht="28.5" customHeight="1" x14ac:dyDescent="0.25">
      <c r="A161" s="232"/>
      <c r="B161" s="74" t="s">
        <v>719</v>
      </c>
      <c r="C161" s="74" t="s">
        <v>720</v>
      </c>
      <c r="D161" s="26">
        <f t="shared" si="53"/>
        <v>155</v>
      </c>
      <c r="E161" s="24"/>
      <c r="F161" s="24"/>
      <c r="G161" s="24">
        <f t="shared" si="47"/>
        <v>155</v>
      </c>
      <c r="H161" s="24"/>
      <c r="I161" s="791"/>
      <c r="J161" s="791"/>
      <c r="K161" s="791"/>
      <c r="L161" s="791"/>
      <c r="M161" s="791"/>
      <c r="N161" s="791"/>
      <c r="O161" s="791"/>
      <c r="P161" s="791"/>
      <c r="Q161" s="791"/>
      <c r="R161" s="802"/>
      <c r="S161" s="809"/>
      <c r="T161" s="791"/>
      <c r="U161" s="791"/>
      <c r="V161" s="791"/>
      <c r="W161" s="791"/>
      <c r="X161" s="800"/>
      <c r="Y161" s="863"/>
      <c r="Z161" s="861"/>
      <c r="AA161" s="861"/>
      <c r="AB161" s="861"/>
      <c r="AC161" s="1063">
        <f t="shared" si="55"/>
        <v>155</v>
      </c>
      <c r="AD161" s="98"/>
      <c r="AE161" s="98"/>
      <c r="AF161" s="889">
        <v>155</v>
      </c>
      <c r="AG161" s="624"/>
      <c r="AH161" s="825"/>
      <c r="AI161" s="825"/>
      <c r="AJ161" s="825"/>
      <c r="AK161" s="987"/>
      <c r="AL161" s="913"/>
      <c r="AM161" s="913"/>
      <c r="AN161" s="913"/>
      <c r="AO161" s="913"/>
      <c r="AP161" s="913"/>
      <c r="AQ161" s="913"/>
      <c r="AR161" s="913"/>
      <c r="AS161" s="913"/>
    </row>
    <row r="162" spans="1:45" ht="24.75" x14ac:dyDescent="0.25">
      <c r="A162" s="232"/>
      <c r="B162" s="102" t="s">
        <v>106</v>
      </c>
      <c r="C162" s="102" t="s">
        <v>752</v>
      </c>
      <c r="D162" s="26">
        <f t="shared" si="53"/>
        <v>5565.5129999999999</v>
      </c>
      <c r="E162" s="24">
        <f>J162+N162+R162+V162+Z162+AD162+AI162</f>
        <v>0</v>
      </c>
      <c r="F162" s="24">
        <f>K162+O162+S162+W162+AA162+AE162+AJ162</f>
        <v>0</v>
      </c>
      <c r="G162" s="24">
        <f t="shared" si="47"/>
        <v>5565.5129999999999</v>
      </c>
      <c r="H162" s="24"/>
      <c r="I162" s="791"/>
      <c r="J162" s="791"/>
      <c r="K162" s="791"/>
      <c r="L162" s="791"/>
      <c r="M162" s="791"/>
      <c r="N162" s="791"/>
      <c r="O162" s="791"/>
      <c r="P162" s="791"/>
      <c r="Q162" s="791">
        <f>R162+S162+T162</f>
        <v>250</v>
      </c>
      <c r="R162" s="802"/>
      <c r="S162" s="809"/>
      <c r="T162" s="791">
        <v>250</v>
      </c>
      <c r="U162" s="791"/>
      <c r="V162" s="791"/>
      <c r="W162" s="791"/>
      <c r="X162" s="800"/>
      <c r="Y162" s="863"/>
      <c r="Z162" s="861"/>
      <c r="AA162" s="861"/>
      <c r="AB162" s="861"/>
      <c r="AC162" s="203">
        <f t="shared" si="55"/>
        <v>5315.5129999999999</v>
      </c>
      <c r="AD162" s="198"/>
      <c r="AE162" s="198"/>
      <c r="AF162" s="624">
        <f>219.713+5095.8</f>
        <v>5315.5129999999999</v>
      </c>
      <c r="AG162" s="624"/>
      <c r="AH162" s="825"/>
      <c r="AI162" s="825"/>
      <c r="AJ162" s="825"/>
      <c r="AK162" s="987"/>
      <c r="AL162" s="913"/>
      <c r="AM162" s="913"/>
      <c r="AN162" s="913"/>
      <c r="AO162" s="913"/>
      <c r="AP162" s="913"/>
      <c r="AQ162" s="913"/>
      <c r="AR162" s="913"/>
      <c r="AS162" s="913"/>
    </row>
    <row r="163" spans="1:45" ht="36.75" x14ac:dyDescent="0.25">
      <c r="A163" s="232"/>
      <c r="B163" s="102" t="s">
        <v>580</v>
      </c>
      <c r="C163" s="102" t="s">
        <v>639</v>
      </c>
      <c r="D163" s="26">
        <f t="shared" si="53"/>
        <v>1318.107</v>
      </c>
      <c r="E163" s="24">
        <f>J163+N163+R163+V163+Z163+AD163+AI163</f>
        <v>0</v>
      </c>
      <c r="F163" s="24">
        <f>K163+O163+S163+W163+AA163+AE163+AJ163</f>
        <v>0</v>
      </c>
      <c r="G163" s="24">
        <f t="shared" ref="G163:G194" si="56">L163+P163+T163+X163+AB163+AF163+AK163+AO163+AS163</f>
        <v>1318.107</v>
      </c>
      <c r="H163" s="24"/>
      <c r="I163" s="791"/>
      <c r="J163" s="791"/>
      <c r="K163" s="791"/>
      <c r="L163" s="791"/>
      <c r="M163" s="791"/>
      <c r="N163" s="791"/>
      <c r="O163" s="791"/>
      <c r="P163" s="791"/>
      <c r="Q163" s="791"/>
      <c r="R163" s="802"/>
      <c r="S163" s="809"/>
      <c r="T163" s="791"/>
      <c r="U163" s="791">
        <f>V163+W163+X163</f>
        <v>413.10500000000002</v>
      </c>
      <c r="V163" s="791"/>
      <c r="W163" s="791"/>
      <c r="X163" s="791">
        <v>413.10500000000002</v>
      </c>
      <c r="Y163" s="863">
        <f>AA163+Z163+AB163</f>
        <v>905.00199999999995</v>
      </c>
      <c r="Z163" s="861"/>
      <c r="AA163" s="861"/>
      <c r="AB163" s="863">
        <f>1350-444.998</f>
        <v>905.00199999999995</v>
      </c>
      <c r="AC163" s="203">
        <f t="shared" si="55"/>
        <v>0</v>
      </c>
      <c r="AD163" s="198"/>
      <c r="AE163" s="198"/>
      <c r="AF163" s="624"/>
      <c r="AG163" s="624"/>
      <c r="AH163" s="825"/>
      <c r="AI163" s="825"/>
      <c r="AJ163" s="825"/>
      <c r="AK163" s="987"/>
      <c r="AL163" s="913"/>
      <c r="AM163" s="913"/>
      <c r="AN163" s="913"/>
      <c r="AO163" s="913"/>
      <c r="AP163" s="913"/>
      <c r="AQ163" s="913"/>
      <c r="AR163" s="913"/>
      <c r="AS163" s="913"/>
    </row>
    <row r="164" spans="1:45" ht="48" x14ac:dyDescent="0.2">
      <c r="A164" s="150" t="s">
        <v>189</v>
      </c>
      <c r="B164" s="149" t="s">
        <v>154</v>
      </c>
      <c r="C164" s="149"/>
      <c r="D164" s="205">
        <f>F164+E164+G164</f>
        <v>52302.8393</v>
      </c>
      <c r="E164" s="205">
        <f>J164+N164+R164+V164+Z164+AD164+AI164+AM164</f>
        <v>0</v>
      </c>
      <c r="F164" s="205">
        <f>K164+O164+S164+W164+AA164+AE164+AJ164+AN164</f>
        <v>25389.2402</v>
      </c>
      <c r="G164" s="205">
        <f t="shared" si="56"/>
        <v>26913.599099999999</v>
      </c>
      <c r="H164" s="205"/>
      <c r="I164" s="810"/>
      <c r="J164" s="810"/>
      <c r="K164" s="800"/>
      <c r="L164" s="800"/>
      <c r="M164" s="800">
        <f t="shared" ref="M164:W164" si="57">SUM(M165:M196)</f>
        <v>1803.8609999999999</v>
      </c>
      <c r="N164" s="800">
        <f t="shared" si="57"/>
        <v>0</v>
      </c>
      <c r="O164" s="800">
        <f t="shared" si="57"/>
        <v>890.65499999999997</v>
      </c>
      <c r="P164" s="800">
        <f t="shared" si="57"/>
        <v>913.2059999999999</v>
      </c>
      <c r="Q164" s="800">
        <f t="shared" si="57"/>
        <v>4307.5810000000001</v>
      </c>
      <c r="R164" s="800">
        <f t="shared" si="57"/>
        <v>0</v>
      </c>
      <c r="S164" s="800">
        <f t="shared" si="57"/>
        <v>1673.5119999999999</v>
      </c>
      <c r="T164" s="800">
        <f t="shared" si="57"/>
        <v>2634.0690000000004</v>
      </c>
      <c r="U164" s="800">
        <f>W164+X164</f>
        <v>11070.1983</v>
      </c>
      <c r="V164" s="800">
        <f t="shared" si="57"/>
        <v>0</v>
      </c>
      <c r="W164" s="800">
        <f t="shared" si="57"/>
        <v>1910.6001999999999</v>
      </c>
      <c r="X164" s="800">
        <f>SUM(X165:X204)</f>
        <v>9159.5980999999992</v>
      </c>
      <c r="Y164" s="815">
        <f>Z164+AA164+AB164</f>
        <v>2800.8452299999999</v>
      </c>
      <c r="Z164" s="800">
        <f>SUM(Z165:Z201)</f>
        <v>0</v>
      </c>
      <c r="AA164" s="800">
        <f>SUM(AA165:AA201)</f>
        <v>908.3</v>
      </c>
      <c r="AB164" s="800">
        <f>SUM(AB165:AB227)</f>
        <v>1892.5452299999997</v>
      </c>
      <c r="AC164" s="230">
        <f>AD164+AE164+AF164</f>
        <v>6530.653769999999</v>
      </c>
      <c r="AD164" s="205">
        <f>SUM(AD165:AD226)</f>
        <v>0</v>
      </c>
      <c r="AE164" s="205">
        <f>SUM(AE165:AE228)</f>
        <v>2563.3729999999996</v>
      </c>
      <c r="AF164" s="205">
        <f>SUM(AF165:AF228)</f>
        <v>3967.2807699999998</v>
      </c>
      <c r="AG164" s="205"/>
      <c r="AH164" s="1567">
        <f t="shared" ref="AH164:AI164" si="58">SUM(AH165:AH230)</f>
        <v>25789.699999999997</v>
      </c>
      <c r="AI164" s="1567">
        <f t="shared" si="58"/>
        <v>0</v>
      </c>
      <c r="AJ164" s="1567">
        <f>SUM(AJ165:AJ230)</f>
        <v>17442.8</v>
      </c>
      <c r="AK164" s="1567">
        <f>SUM(AK165:AK230)</f>
        <v>8346.9</v>
      </c>
      <c r="AL164" s="995">
        <f>AM164+AN164+AO164</f>
        <v>0</v>
      </c>
      <c r="AM164" s="988">
        <f>SUM(AM165:AM201)</f>
        <v>0</v>
      </c>
      <c r="AN164" s="988">
        <f>SUM(AN165:AN201)</f>
        <v>0</v>
      </c>
      <c r="AO164" s="205">
        <f>SUM(AO165:AO226)</f>
        <v>0</v>
      </c>
      <c r="AP164" s="995">
        <f>AQ164+AR164+AS164</f>
        <v>0</v>
      </c>
      <c r="AQ164" s="988">
        <f>SUM(AQ165:AQ201)</f>
        <v>0</v>
      </c>
      <c r="AR164" s="988">
        <f>SUM(AR165:AR201)</f>
        <v>0</v>
      </c>
      <c r="AS164" s="205">
        <f>SUM(AS165:AS226)</f>
        <v>0</v>
      </c>
    </row>
    <row r="165" spans="1:45" ht="24.75" x14ac:dyDescent="0.25">
      <c r="A165" s="150"/>
      <c r="B165" s="102" t="s">
        <v>106</v>
      </c>
      <c r="C165" s="102" t="s">
        <v>284</v>
      </c>
      <c r="D165" s="26">
        <f>E165+F165+G165</f>
        <v>194.24323999999999</v>
      </c>
      <c r="E165" s="26">
        <f t="shared" ref="E165:F171" si="59">J165+N165+R165+V165+Z165+AD165+AI165</f>
        <v>0</v>
      </c>
      <c r="F165" s="26">
        <f t="shared" si="59"/>
        <v>155.39424</v>
      </c>
      <c r="G165" s="26">
        <f t="shared" si="56"/>
        <v>38.848999999999997</v>
      </c>
      <c r="H165" s="26"/>
      <c r="I165" s="810"/>
      <c r="J165" s="810"/>
      <c r="K165" s="800"/>
      <c r="L165" s="800"/>
      <c r="M165" s="800"/>
      <c r="N165" s="800"/>
      <c r="O165" s="800"/>
      <c r="P165" s="812"/>
      <c r="Q165" s="791">
        <f>R165+S165+T165</f>
        <v>194.24323999999999</v>
      </c>
      <c r="R165" s="799"/>
      <c r="S165" s="791">
        <v>155.39424</v>
      </c>
      <c r="T165" s="791">
        <v>38.848999999999997</v>
      </c>
      <c r="U165" s="799"/>
      <c r="V165" s="800"/>
      <c r="W165" s="800"/>
      <c r="X165" s="800"/>
      <c r="Y165" s="1203"/>
      <c r="Z165" s="800"/>
      <c r="AA165" s="800"/>
      <c r="AB165" s="800"/>
      <c r="AC165" s="198"/>
      <c r="AD165" s="198"/>
      <c r="AE165" s="198"/>
      <c r="AF165" s="198"/>
      <c r="AG165" s="198"/>
      <c r="AH165" s="825"/>
      <c r="AI165" s="825"/>
      <c r="AJ165" s="825"/>
      <c r="AK165" s="987"/>
      <c r="AL165" s="913"/>
      <c r="AM165" s="913"/>
      <c r="AN165" s="913"/>
      <c r="AO165" s="913"/>
      <c r="AP165" s="913"/>
      <c r="AQ165" s="913"/>
      <c r="AR165" s="913"/>
      <c r="AS165" s="913"/>
    </row>
    <row r="166" spans="1:45" ht="15" x14ac:dyDescent="0.25">
      <c r="A166" s="150"/>
      <c r="B166" s="102" t="s">
        <v>178</v>
      </c>
      <c r="C166" s="102" t="s">
        <v>28</v>
      </c>
      <c r="D166" s="26">
        <f t="shared" ref="D166:D249" si="60">E166+F166+G166</f>
        <v>1329.2439999999999</v>
      </c>
      <c r="E166" s="26">
        <f t="shared" si="59"/>
        <v>0</v>
      </c>
      <c r="F166" s="26">
        <f t="shared" si="59"/>
        <v>890.65499999999997</v>
      </c>
      <c r="G166" s="26">
        <f t="shared" si="56"/>
        <v>438.589</v>
      </c>
      <c r="H166" s="26"/>
      <c r="I166" s="809"/>
      <c r="J166" s="809"/>
      <c r="K166" s="791"/>
      <c r="L166" s="791"/>
      <c r="M166" s="791">
        <f>N166+O166+P166</f>
        <v>1329.2439999999999</v>
      </c>
      <c r="N166" s="791"/>
      <c r="O166" s="798">
        <v>890.65499999999997</v>
      </c>
      <c r="P166" s="813">
        <v>438.589</v>
      </c>
      <c r="Q166" s="802"/>
      <c r="R166" s="800"/>
      <c r="S166" s="800"/>
      <c r="T166" s="800"/>
      <c r="U166" s="799"/>
      <c r="V166" s="800"/>
      <c r="W166" s="800"/>
      <c r="X166" s="800"/>
      <c r="Y166" s="861"/>
      <c r="Z166" s="861"/>
      <c r="AA166" s="861"/>
      <c r="AB166" s="861"/>
      <c r="AC166" s="198"/>
      <c r="AD166" s="198"/>
      <c r="AE166" s="198"/>
      <c r="AF166" s="198"/>
      <c r="AG166" s="198"/>
      <c r="AH166" s="825"/>
      <c r="AI166" s="825"/>
      <c r="AJ166" s="825"/>
      <c r="AK166" s="987"/>
      <c r="AL166" s="913"/>
      <c r="AM166" s="913"/>
      <c r="AN166" s="913"/>
      <c r="AO166" s="913"/>
      <c r="AP166" s="913"/>
      <c r="AQ166" s="913"/>
      <c r="AR166" s="913"/>
      <c r="AS166" s="913"/>
    </row>
    <row r="167" spans="1:45" ht="15" x14ac:dyDescent="0.25">
      <c r="A167" s="232"/>
      <c r="B167" s="102" t="s">
        <v>176</v>
      </c>
      <c r="C167" s="102" t="s">
        <v>28</v>
      </c>
      <c r="D167" s="26">
        <f t="shared" si="60"/>
        <v>218.417</v>
      </c>
      <c r="E167" s="26">
        <f t="shared" si="59"/>
        <v>0</v>
      </c>
      <c r="F167" s="26">
        <f t="shared" si="59"/>
        <v>0</v>
      </c>
      <c r="G167" s="26">
        <f t="shared" si="56"/>
        <v>218.417</v>
      </c>
      <c r="H167" s="26"/>
      <c r="I167" s="809"/>
      <c r="J167" s="809"/>
      <c r="K167" s="791"/>
      <c r="L167" s="791"/>
      <c r="M167" s="791">
        <f>N167+O167+P167</f>
        <v>218.417</v>
      </c>
      <c r="N167" s="791"/>
      <c r="O167" s="798"/>
      <c r="P167" s="813">
        <v>218.417</v>
      </c>
      <c r="Q167" s="802"/>
      <c r="R167" s="802"/>
      <c r="S167" s="791"/>
      <c r="T167" s="791"/>
      <c r="U167" s="799"/>
      <c r="V167" s="791"/>
      <c r="W167" s="791"/>
      <c r="X167" s="791"/>
      <c r="Y167" s="861"/>
      <c r="Z167" s="861"/>
      <c r="AA167" s="861"/>
      <c r="AB167" s="861"/>
      <c r="AC167" s="198"/>
      <c r="AD167" s="198"/>
      <c r="AE167" s="198"/>
      <c r="AF167" s="198"/>
      <c r="AG167" s="198"/>
      <c r="AH167" s="825"/>
      <c r="AI167" s="825"/>
      <c r="AJ167" s="825"/>
      <c r="AK167" s="987"/>
      <c r="AL167" s="913"/>
      <c r="AM167" s="913"/>
      <c r="AN167" s="913"/>
      <c r="AO167" s="913"/>
      <c r="AP167" s="913"/>
      <c r="AQ167" s="913"/>
      <c r="AR167" s="913"/>
      <c r="AS167" s="913"/>
    </row>
    <row r="168" spans="1:45" ht="15" x14ac:dyDescent="0.25">
      <c r="A168" s="232"/>
      <c r="B168" s="102" t="s">
        <v>331</v>
      </c>
      <c r="C168" s="102" t="s">
        <v>305</v>
      </c>
      <c r="D168" s="26">
        <f t="shared" si="60"/>
        <v>263.62475000000001</v>
      </c>
      <c r="E168" s="26">
        <f t="shared" si="59"/>
        <v>0</v>
      </c>
      <c r="F168" s="26">
        <f t="shared" si="59"/>
        <v>250.44374999999999</v>
      </c>
      <c r="G168" s="26">
        <f t="shared" si="56"/>
        <v>13.180999999999999</v>
      </c>
      <c r="H168" s="26"/>
      <c r="I168" s="809"/>
      <c r="J168" s="809"/>
      <c r="K168" s="791"/>
      <c r="L168" s="791"/>
      <c r="M168" s="791"/>
      <c r="N168" s="791"/>
      <c r="O168" s="798"/>
      <c r="P168" s="814"/>
      <c r="Q168" s="799">
        <f>R168+S168+T168</f>
        <v>263.62475000000001</v>
      </c>
      <c r="R168" s="799"/>
      <c r="S168" s="791">
        <v>250.44374999999999</v>
      </c>
      <c r="T168" s="791">
        <v>13.180999999999999</v>
      </c>
      <c r="U168" s="799"/>
      <c r="V168" s="791"/>
      <c r="W168" s="791"/>
      <c r="X168" s="791"/>
      <c r="Y168" s="861"/>
      <c r="Z168" s="861"/>
      <c r="AA168" s="861"/>
      <c r="AB168" s="861"/>
      <c r="AC168" s="198"/>
      <c r="AD168" s="198"/>
      <c r="AE168" s="198"/>
      <c r="AF168" s="198"/>
      <c r="AG168" s="198"/>
      <c r="AH168" s="825"/>
      <c r="AI168" s="825"/>
      <c r="AJ168" s="825"/>
      <c r="AK168" s="987"/>
      <c r="AL168" s="913"/>
      <c r="AM168" s="913"/>
      <c r="AN168" s="913"/>
      <c r="AO168" s="913"/>
      <c r="AP168" s="913"/>
      <c r="AQ168" s="913"/>
      <c r="AR168" s="913"/>
      <c r="AS168" s="913"/>
    </row>
    <row r="169" spans="1:45" ht="24.75" x14ac:dyDescent="0.25">
      <c r="A169" s="232"/>
      <c r="B169" s="397" t="s">
        <v>605</v>
      </c>
      <c r="C169" s="102" t="s">
        <v>596</v>
      </c>
      <c r="D169" s="26">
        <f t="shared" si="60"/>
        <v>266.06600000000003</v>
      </c>
      <c r="E169" s="26">
        <f t="shared" si="59"/>
        <v>0</v>
      </c>
      <c r="F169" s="26">
        <f t="shared" si="59"/>
        <v>0</v>
      </c>
      <c r="G169" s="26">
        <f t="shared" si="56"/>
        <v>266.06600000000003</v>
      </c>
      <c r="H169" s="26"/>
      <c r="I169" s="809"/>
      <c r="J169" s="809"/>
      <c r="K169" s="791"/>
      <c r="L169" s="791"/>
      <c r="M169" s="791"/>
      <c r="N169" s="791"/>
      <c r="O169" s="798"/>
      <c r="P169" s="814"/>
      <c r="Q169" s="799">
        <f>R169+S169+T169</f>
        <v>216.066</v>
      </c>
      <c r="R169" s="802"/>
      <c r="S169" s="791"/>
      <c r="T169" s="791">
        <v>216.066</v>
      </c>
      <c r="U169" s="799">
        <f>V169+W169+X169</f>
        <v>50</v>
      </c>
      <c r="V169" s="791"/>
      <c r="W169" s="791"/>
      <c r="X169" s="791">
        <v>50</v>
      </c>
      <c r="Y169" s="861"/>
      <c r="Z169" s="861"/>
      <c r="AA169" s="861"/>
      <c r="AB169" s="861"/>
      <c r="AC169" s="198"/>
      <c r="AD169" s="198"/>
      <c r="AE169" s="198"/>
      <c r="AF169" s="198"/>
      <c r="AG169" s="198"/>
      <c r="AH169" s="825"/>
      <c r="AI169" s="825"/>
      <c r="AJ169" s="825"/>
      <c r="AK169" s="987"/>
      <c r="AL169" s="913"/>
      <c r="AM169" s="913"/>
      <c r="AN169" s="913"/>
      <c r="AO169" s="913"/>
      <c r="AP169" s="913"/>
      <c r="AQ169" s="913"/>
      <c r="AR169" s="913"/>
      <c r="AS169" s="913"/>
    </row>
    <row r="170" spans="1:45" ht="15" x14ac:dyDescent="0.25">
      <c r="A170" s="232"/>
      <c r="B170" s="102" t="s">
        <v>332</v>
      </c>
      <c r="C170" s="102" t="s">
        <v>30</v>
      </c>
      <c r="D170" s="26">
        <f t="shared" si="60"/>
        <v>496.98500000000001</v>
      </c>
      <c r="E170" s="26">
        <f t="shared" si="59"/>
        <v>0</v>
      </c>
      <c r="F170" s="26">
        <f t="shared" si="59"/>
        <v>0</v>
      </c>
      <c r="G170" s="26">
        <f t="shared" si="56"/>
        <v>496.98500000000001</v>
      </c>
      <c r="H170" s="26"/>
      <c r="I170" s="809"/>
      <c r="J170" s="809"/>
      <c r="K170" s="791"/>
      <c r="L170" s="791"/>
      <c r="M170" s="791"/>
      <c r="N170" s="791"/>
      <c r="O170" s="798"/>
      <c r="P170" s="814"/>
      <c r="Q170" s="799">
        <f t="shared" ref="Q170:Q177" si="61">R170+S170+T170</f>
        <v>496.98500000000001</v>
      </c>
      <c r="R170" s="802"/>
      <c r="S170" s="791"/>
      <c r="T170" s="791">
        <v>496.98500000000001</v>
      </c>
      <c r="U170" s="799"/>
      <c r="V170" s="791"/>
      <c r="W170" s="791"/>
      <c r="X170" s="791"/>
      <c r="Y170" s="861"/>
      <c r="Z170" s="861"/>
      <c r="AA170" s="861"/>
      <c r="AB170" s="861"/>
      <c r="AC170" s="198"/>
      <c r="AD170" s="198"/>
      <c r="AE170" s="198"/>
      <c r="AF170" s="198"/>
      <c r="AG170" s="198"/>
      <c r="AH170" s="825"/>
      <c r="AI170" s="825"/>
      <c r="AJ170" s="825"/>
      <c r="AK170" s="987"/>
      <c r="AL170" s="913"/>
      <c r="AM170" s="913"/>
      <c r="AN170" s="913"/>
      <c r="AO170" s="913"/>
      <c r="AP170" s="913"/>
      <c r="AQ170" s="913"/>
      <c r="AR170" s="913"/>
      <c r="AS170" s="913"/>
    </row>
    <row r="171" spans="1:45" ht="15" x14ac:dyDescent="0.25">
      <c r="A171" s="232"/>
      <c r="B171" s="102" t="s">
        <v>285</v>
      </c>
      <c r="C171" s="102" t="s">
        <v>158</v>
      </c>
      <c r="D171" s="26">
        <f t="shared" si="60"/>
        <v>543.29300000000001</v>
      </c>
      <c r="E171" s="26">
        <f t="shared" si="59"/>
        <v>0</v>
      </c>
      <c r="F171" s="26">
        <f t="shared" si="59"/>
        <v>0</v>
      </c>
      <c r="G171" s="26">
        <f t="shared" si="56"/>
        <v>543.29300000000001</v>
      </c>
      <c r="H171" s="26"/>
      <c r="I171" s="809"/>
      <c r="J171" s="809"/>
      <c r="K171" s="791"/>
      <c r="L171" s="791"/>
      <c r="M171" s="791"/>
      <c r="N171" s="791"/>
      <c r="O171" s="798"/>
      <c r="P171" s="814"/>
      <c r="Q171" s="799">
        <f t="shared" si="61"/>
        <v>543.29300000000001</v>
      </c>
      <c r="R171" s="802"/>
      <c r="S171" s="791"/>
      <c r="T171" s="791">
        <v>543.29300000000001</v>
      </c>
      <c r="U171" s="799"/>
      <c r="V171" s="791"/>
      <c r="W171" s="791"/>
      <c r="X171" s="791"/>
      <c r="Y171" s="799">
        <f t="shared" ref="Y171:Y179" si="62">Z171+AA171+AB171</f>
        <v>0</v>
      </c>
      <c r="Z171" s="861"/>
      <c r="AA171" s="861"/>
      <c r="AB171" s="861"/>
      <c r="AC171" s="198"/>
      <c r="AD171" s="198"/>
      <c r="AE171" s="198"/>
      <c r="AF171" s="198"/>
      <c r="AG171" s="198"/>
      <c r="AH171" s="825"/>
      <c r="AI171" s="825"/>
      <c r="AJ171" s="825"/>
      <c r="AK171" s="987"/>
      <c r="AL171" s="913"/>
      <c r="AM171" s="913"/>
      <c r="AN171" s="913"/>
      <c r="AO171" s="913"/>
      <c r="AP171" s="913"/>
      <c r="AQ171" s="913"/>
      <c r="AR171" s="913"/>
      <c r="AS171" s="913"/>
    </row>
    <row r="172" spans="1:45" ht="36.75" x14ac:dyDescent="0.25">
      <c r="A172" s="232"/>
      <c r="B172" s="74" t="s">
        <v>285</v>
      </c>
      <c r="C172" s="74" t="s">
        <v>693</v>
      </c>
      <c r="D172" s="26">
        <f t="shared" si="60"/>
        <v>4428.8326699999998</v>
      </c>
      <c r="E172" s="26">
        <f>J172+N172+R172+V172+Z172+AD172+AI172+AM172</f>
        <v>0</v>
      </c>
      <c r="F172" s="26">
        <f>K172+O172+S172+W172+AA172+AE172+AJ172+AN172</f>
        <v>0</v>
      </c>
      <c r="G172" s="26">
        <f t="shared" si="56"/>
        <v>4428.8326699999998</v>
      </c>
      <c r="H172" s="26"/>
      <c r="I172" s="809"/>
      <c r="J172" s="809"/>
      <c r="K172" s="791"/>
      <c r="L172" s="791"/>
      <c r="M172" s="791"/>
      <c r="N172" s="791"/>
      <c r="O172" s="798"/>
      <c r="P172" s="814"/>
      <c r="Q172" s="799">
        <f t="shared" si="61"/>
        <v>581.03800000000001</v>
      </c>
      <c r="R172" s="802"/>
      <c r="S172" s="791"/>
      <c r="T172" s="791">
        <v>581.03800000000001</v>
      </c>
      <c r="U172" s="799"/>
      <c r="V172" s="791"/>
      <c r="W172" s="791"/>
      <c r="X172" s="791"/>
      <c r="Y172" s="799">
        <f t="shared" si="62"/>
        <v>453</v>
      </c>
      <c r="Z172" s="861"/>
      <c r="AA172" s="861"/>
      <c r="AB172" s="861">
        <f>453.3-0.3</f>
        <v>453</v>
      </c>
      <c r="AC172" s="624">
        <f>AD172+AE172+AF172</f>
        <v>3394.7946700000002</v>
      </c>
      <c r="AD172" s="260"/>
      <c r="AE172" s="260"/>
      <c r="AF172" s="624">
        <f>258.85+2035.189+1487.928-189.659-182.98822-5.18411-9.341</f>
        <v>3394.7946700000002</v>
      </c>
      <c r="AG172" s="624"/>
      <c r="AH172" s="825">
        <f>AI172+AJ172+AK172</f>
        <v>0</v>
      </c>
      <c r="AI172" s="825"/>
      <c r="AJ172" s="825"/>
      <c r="AK172" s="987"/>
      <c r="AL172" s="913"/>
      <c r="AM172" s="913"/>
      <c r="AN172" s="913"/>
      <c r="AO172" s="913"/>
      <c r="AP172" s="913"/>
      <c r="AQ172" s="913"/>
      <c r="AR172" s="913"/>
      <c r="AS172" s="913"/>
    </row>
    <row r="173" spans="1:45" ht="48.75" x14ac:dyDescent="0.25">
      <c r="A173" s="232"/>
      <c r="B173" s="102" t="s">
        <v>286</v>
      </c>
      <c r="C173" s="102" t="s">
        <v>662</v>
      </c>
      <c r="D173" s="26">
        <f t="shared" si="60"/>
        <v>230</v>
      </c>
      <c r="E173" s="26">
        <f t="shared" ref="E173:E183" si="63">J173+N173+R173+V173+Z173+AD173+AI173</f>
        <v>0</v>
      </c>
      <c r="F173" s="26">
        <f t="shared" ref="F173:F183" si="64">K173+O173+S173+W173+AA173+AE173+AJ173</f>
        <v>0</v>
      </c>
      <c r="G173" s="26">
        <f t="shared" si="56"/>
        <v>230</v>
      </c>
      <c r="H173" s="26"/>
      <c r="I173" s="809"/>
      <c r="J173" s="809"/>
      <c r="K173" s="791"/>
      <c r="L173" s="791"/>
      <c r="M173" s="791"/>
      <c r="N173" s="791"/>
      <c r="O173" s="798"/>
      <c r="P173" s="814"/>
      <c r="Q173" s="799">
        <f t="shared" si="61"/>
        <v>140</v>
      </c>
      <c r="R173" s="802"/>
      <c r="S173" s="791"/>
      <c r="T173" s="791">
        <v>140</v>
      </c>
      <c r="U173" s="799"/>
      <c r="V173" s="791"/>
      <c r="W173" s="791"/>
      <c r="X173" s="791"/>
      <c r="Y173" s="799">
        <f t="shared" si="62"/>
        <v>90</v>
      </c>
      <c r="Z173" s="861"/>
      <c r="AA173" s="861"/>
      <c r="AB173" s="863">
        <v>90</v>
      </c>
      <c r="AC173" s="678"/>
      <c r="AD173" s="678"/>
      <c r="AE173" s="678"/>
      <c r="AF173" s="678"/>
      <c r="AG173" s="678"/>
      <c r="AH173" s="825"/>
      <c r="AI173" s="825"/>
      <c r="AJ173" s="825"/>
      <c r="AK173" s="987"/>
      <c r="AL173" s="913"/>
      <c r="AM173" s="913"/>
      <c r="AN173" s="913"/>
      <c r="AO173" s="913"/>
      <c r="AP173" s="913"/>
      <c r="AQ173" s="913"/>
      <c r="AR173" s="913"/>
      <c r="AS173" s="913"/>
    </row>
    <row r="174" spans="1:45" ht="24.75" x14ac:dyDescent="0.25">
      <c r="A174" s="232"/>
      <c r="B174" s="102" t="s">
        <v>308</v>
      </c>
      <c r="C174" s="102" t="s">
        <v>551</v>
      </c>
      <c r="D174" s="26">
        <f t="shared" si="60"/>
        <v>973.22299999999996</v>
      </c>
      <c r="E174" s="26">
        <f t="shared" si="63"/>
        <v>0</v>
      </c>
      <c r="F174" s="26">
        <f t="shared" si="64"/>
        <v>0</v>
      </c>
      <c r="G174" s="26">
        <f t="shared" si="56"/>
        <v>973.22299999999996</v>
      </c>
      <c r="H174" s="26"/>
      <c r="I174" s="809"/>
      <c r="J174" s="809"/>
      <c r="K174" s="791"/>
      <c r="L174" s="791"/>
      <c r="M174" s="791"/>
      <c r="N174" s="791"/>
      <c r="O174" s="798"/>
      <c r="P174" s="814"/>
      <c r="Q174" s="799">
        <f t="shared" si="61"/>
        <v>0</v>
      </c>
      <c r="R174" s="802"/>
      <c r="S174" s="791"/>
      <c r="T174" s="791"/>
      <c r="U174" s="799">
        <f t="shared" ref="U174:U182" si="65">V174+W174+X174</f>
        <v>973.22299999999996</v>
      </c>
      <c r="V174" s="791"/>
      <c r="W174" s="791"/>
      <c r="X174" s="791">
        <f>639.111+334.112</f>
        <v>973.22299999999996</v>
      </c>
      <c r="Y174" s="799">
        <f t="shared" si="62"/>
        <v>0</v>
      </c>
      <c r="Z174" s="861"/>
      <c r="AA174" s="861"/>
      <c r="AB174" s="861"/>
      <c r="AC174" s="646">
        <f>AD174+AE174+AF174</f>
        <v>0</v>
      </c>
      <c r="AD174" s="678"/>
      <c r="AE174" s="646"/>
      <c r="AF174" s="260"/>
      <c r="AG174" s="260"/>
      <c r="AH174" s="825"/>
      <c r="AI174" s="825"/>
      <c r="AJ174" s="825"/>
      <c r="AK174" s="987"/>
      <c r="AL174" s="913"/>
      <c r="AM174" s="913"/>
      <c r="AN174" s="913"/>
      <c r="AO174" s="913"/>
      <c r="AP174" s="913"/>
      <c r="AQ174" s="913"/>
      <c r="AR174" s="913"/>
      <c r="AS174" s="913"/>
    </row>
    <row r="175" spans="1:45" ht="24.75" x14ac:dyDescent="0.25">
      <c r="A175" s="232"/>
      <c r="B175" s="102" t="s">
        <v>285</v>
      </c>
      <c r="C175" s="102" t="s">
        <v>284</v>
      </c>
      <c r="D175" s="26">
        <f t="shared" si="60"/>
        <v>854.47072000000003</v>
      </c>
      <c r="E175" s="26">
        <f t="shared" si="63"/>
        <v>0</v>
      </c>
      <c r="F175" s="26">
        <f t="shared" si="64"/>
        <v>657.94272000000001</v>
      </c>
      <c r="G175" s="26">
        <f t="shared" si="56"/>
        <v>196.52799999999999</v>
      </c>
      <c r="H175" s="26"/>
      <c r="I175" s="809"/>
      <c r="J175" s="809"/>
      <c r="K175" s="791"/>
      <c r="L175" s="791"/>
      <c r="M175" s="791"/>
      <c r="N175" s="791"/>
      <c r="O175" s="798"/>
      <c r="P175" s="814"/>
      <c r="Q175" s="799">
        <f t="shared" si="61"/>
        <v>854.47072000000003</v>
      </c>
      <c r="R175" s="799"/>
      <c r="S175" s="791">
        <v>657.94272000000001</v>
      </c>
      <c r="T175" s="791">
        <v>196.52799999999999</v>
      </c>
      <c r="U175" s="799">
        <f t="shared" si="65"/>
        <v>0</v>
      </c>
      <c r="V175" s="791"/>
      <c r="W175" s="791"/>
      <c r="X175" s="791"/>
      <c r="Y175" s="799">
        <f t="shared" si="62"/>
        <v>0</v>
      </c>
      <c r="Z175" s="861"/>
      <c r="AA175" s="861"/>
      <c r="AB175" s="861"/>
      <c r="AC175" s="646">
        <f t="shared" ref="AC175:AC184" si="66">AD175+AE175+AF175</f>
        <v>0</v>
      </c>
      <c r="AD175" s="678"/>
      <c r="AE175" s="678"/>
      <c r="AF175" s="678"/>
      <c r="AG175" s="678"/>
      <c r="AH175" s="825"/>
      <c r="AI175" s="825"/>
      <c r="AJ175" s="825"/>
      <c r="AK175" s="987"/>
      <c r="AL175" s="913"/>
      <c r="AM175" s="913"/>
      <c r="AN175" s="913"/>
      <c r="AO175" s="913"/>
      <c r="AP175" s="913"/>
      <c r="AQ175" s="913"/>
      <c r="AR175" s="913"/>
      <c r="AS175" s="913"/>
    </row>
    <row r="176" spans="1:45" ht="24.75" x14ac:dyDescent="0.25">
      <c r="A176" s="232"/>
      <c r="B176" s="102" t="s">
        <v>285</v>
      </c>
      <c r="C176" s="102" t="s">
        <v>26</v>
      </c>
      <c r="D176" s="26">
        <f t="shared" si="60"/>
        <v>0</v>
      </c>
      <c r="E176" s="26">
        <f t="shared" si="63"/>
        <v>0</v>
      </c>
      <c r="F176" s="26">
        <f t="shared" si="64"/>
        <v>0</v>
      </c>
      <c r="G176" s="26">
        <f t="shared" si="56"/>
        <v>0</v>
      </c>
      <c r="H176" s="26"/>
      <c r="I176" s="809"/>
      <c r="J176" s="809"/>
      <c r="K176" s="791"/>
      <c r="L176" s="791"/>
      <c r="M176" s="791"/>
      <c r="N176" s="791"/>
      <c r="O176" s="798"/>
      <c r="P176" s="814"/>
      <c r="Q176" s="799">
        <f t="shared" si="61"/>
        <v>0</v>
      </c>
      <c r="R176" s="802"/>
      <c r="S176" s="791"/>
      <c r="T176" s="791"/>
      <c r="U176" s="799">
        <f t="shared" si="65"/>
        <v>0</v>
      </c>
      <c r="V176" s="791"/>
      <c r="W176" s="791"/>
      <c r="X176" s="791"/>
      <c r="Y176" s="799">
        <f t="shared" si="62"/>
        <v>0</v>
      </c>
      <c r="Z176" s="861"/>
      <c r="AA176" s="861"/>
      <c r="AB176" s="861"/>
      <c r="AC176" s="646">
        <f t="shared" si="66"/>
        <v>0</v>
      </c>
      <c r="AD176" s="678"/>
      <c r="AE176" s="678"/>
      <c r="AF176" s="678"/>
      <c r="AG176" s="678"/>
      <c r="AH176" s="825"/>
      <c r="AI176" s="825"/>
      <c r="AJ176" s="825"/>
      <c r="AK176" s="987"/>
      <c r="AL176" s="913"/>
      <c r="AM176" s="913"/>
      <c r="AN176" s="913"/>
      <c r="AO176" s="913"/>
      <c r="AP176" s="913"/>
      <c r="AQ176" s="913"/>
      <c r="AR176" s="913"/>
      <c r="AS176" s="913"/>
    </row>
    <row r="177" spans="1:45" ht="24.75" x14ac:dyDescent="0.25">
      <c r="A177" s="232"/>
      <c r="B177" s="102" t="s">
        <v>362</v>
      </c>
      <c r="C177" s="102" t="s">
        <v>288</v>
      </c>
      <c r="D177" s="26">
        <f t="shared" si="60"/>
        <v>15</v>
      </c>
      <c r="E177" s="26">
        <f t="shared" si="63"/>
        <v>0</v>
      </c>
      <c r="F177" s="26">
        <f t="shared" si="64"/>
        <v>0</v>
      </c>
      <c r="G177" s="26">
        <f t="shared" si="56"/>
        <v>15</v>
      </c>
      <c r="H177" s="26"/>
      <c r="I177" s="809"/>
      <c r="J177" s="809"/>
      <c r="K177" s="791"/>
      <c r="L177" s="791"/>
      <c r="M177" s="791"/>
      <c r="N177" s="791"/>
      <c r="O177" s="798"/>
      <c r="P177" s="814"/>
      <c r="Q177" s="799">
        <f t="shared" si="61"/>
        <v>15</v>
      </c>
      <c r="R177" s="802"/>
      <c r="S177" s="791"/>
      <c r="T177" s="791">
        <v>15</v>
      </c>
      <c r="U177" s="799">
        <f t="shared" si="65"/>
        <v>0</v>
      </c>
      <c r="V177" s="791"/>
      <c r="W177" s="791"/>
      <c r="X177" s="791"/>
      <c r="Y177" s="799">
        <f t="shared" si="62"/>
        <v>0</v>
      </c>
      <c r="Z177" s="861"/>
      <c r="AA177" s="861"/>
      <c r="AB177" s="861"/>
      <c r="AC177" s="646">
        <f t="shared" si="66"/>
        <v>0</v>
      </c>
      <c r="AD177" s="678"/>
      <c r="AE177" s="678"/>
      <c r="AF177" s="678"/>
      <c r="AG177" s="678"/>
      <c r="AH177" s="825"/>
      <c r="AI177" s="825"/>
      <c r="AJ177" s="825"/>
      <c r="AK177" s="987"/>
      <c r="AL177" s="913"/>
      <c r="AM177" s="913"/>
      <c r="AN177" s="913"/>
      <c r="AO177" s="913"/>
      <c r="AP177" s="913"/>
      <c r="AQ177" s="913"/>
      <c r="AR177" s="913"/>
      <c r="AS177" s="913"/>
    </row>
    <row r="178" spans="1:45" ht="24" x14ac:dyDescent="0.25">
      <c r="A178" s="232"/>
      <c r="B178" s="397" t="s">
        <v>132</v>
      </c>
      <c r="C178" s="397" t="s">
        <v>597</v>
      </c>
      <c r="D178" s="26">
        <f t="shared" si="60"/>
        <v>219.27</v>
      </c>
      <c r="E178" s="26">
        <f t="shared" si="63"/>
        <v>0</v>
      </c>
      <c r="F178" s="26">
        <f t="shared" si="64"/>
        <v>0</v>
      </c>
      <c r="G178" s="26">
        <f t="shared" si="56"/>
        <v>219.27</v>
      </c>
      <c r="H178" s="26"/>
      <c r="I178" s="809"/>
      <c r="J178" s="809"/>
      <c r="K178" s="791"/>
      <c r="L178" s="791"/>
      <c r="M178" s="791"/>
      <c r="N178" s="791"/>
      <c r="O178" s="798"/>
      <c r="P178" s="814"/>
      <c r="Q178" s="799"/>
      <c r="R178" s="802"/>
      <c r="S178" s="791"/>
      <c r="T178" s="791"/>
      <c r="U178" s="799">
        <f t="shared" si="65"/>
        <v>219.27</v>
      </c>
      <c r="V178" s="791"/>
      <c r="W178" s="791"/>
      <c r="X178" s="791">
        <f>231.073-11.803</f>
        <v>219.27</v>
      </c>
      <c r="Y178" s="799">
        <f t="shared" si="62"/>
        <v>0</v>
      </c>
      <c r="Z178" s="861"/>
      <c r="AA178" s="861"/>
      <c r="AB178" s="861"/>
      <c r="AC178" s="646">
        <f t="shared" si="66"/>
        <v>0</v>
      </c>
      <c r="AD178" s="678"/>
      <c r="AE178" s="678"/>
      <c r="AF178" s="678"/>
      <c r="AG178" s="678"/>
      <c r="AH178" s="825"/>
      <c r="AI178" s="825"/>
      <c r="AJ178" s="825"/>
      <c r="AK178" s="987"/>
      <c r="AL178" s="913"/>
      <c r="AM178" s="913"/>
      <c r="AN178" s="913"/>
      <c r="AO178" s="913"/>
      <c r="AP178" s="913"/>
      <c r="AQ178" s="913"/>
      <c r="AR178" s="913"/>
      <c r="AS178" s="913"/>
    </row>
    <row r="179" spans="1:45" ht="24.75" x14ac:dyDescent="0.25">
      <c r="A179" s="232"/>
      <c r="B179" s="102" t="s">
        <v>289</v>
      </c>
      <c r="C179" s="102" t="s">
        <v>17</v>
      </c>
      <c r="D179" s="26">
        <f t="shared" si="60"/>
        <v>1481.338</v>
      </c>
      <c r="E179" s="26">
        <f t="shared" si="63"/>
        <v>0</v>
      </c>
      <c r="F179" s="26">
        <f t="shared" si="64"/>
        <v>1276.5</v>
      </c>
      <c r="G179" s="26">
        <f t="shared" si="56"/>
        <v>204.83799999999999</v>
      </c>
      <c r="H179" s="26"/>
      <c r="I179" s="809"/>
      <c r="J179" s="809"/>
      <c r="K179" s="791"/>
      <c r="L179" s="791"/>
      <c r="M179" s="791"/>
      <c r="N179" s="791"/>
      <c r="O179" s="798"/>
      <c r="P179" s="814"/>
      <c r="Q179" s="799"/>
      <c r="R179" s="802"/>
      <c r="S179" s="791"/>
      <c r="T179" s="791"/>
      <c r="U179" s="799">
        <f t="shared" si="65"/>
        <v>1481.338</v>
      </c>
      <c r="V179" s="791"/>
      <c r="W179" s="791">
        <v>1276.5</v>
      </c>
      <c r="X179" s="791">
        <v>204.83799999999999</v>
      </c>
      <c r="Y179" s="799">
        <f t="shared" si="62"/>
        <v>0</v>
      </c>
      <c r="Z179" s="861"/>
      <c r="AA179" s="861"/>
      <c r="AB179" s="861"/>
      <c r="AC179" s="646">
        <f t="shared" si="66"/>
        <v>0</v>
      </c>
      <c r="AD179" s="678"/>
      <c r="AE179" s="678"/>
      <c r="AF179" s="678"/>
      <c r="AG179" s="678"/>
      <c r="AH179" s="825"/>
      <c r="AI179" s="825"/>
      <c r="AJ179" s="825"/>
      <c r="AK179" s="987"/>
      <c r="AL179" s="913"/>
      <c r="AM179" s="913"/>
      <c r="AN179" s="913"/>
      <c r="AO179" s="913"/>
      <c r="AP179" s="913"/>
      <c r="AQ179" s="913"/>
      <c r="AR179" s="913"/>
      <c r="AS179" s="913"/>
    </row>
    <row r="180" spans="1:45" ht="15" x14ac:dyDescent="0.25">
      <c r="A180" s="232"/>
      <c r="B180" s="102" t="s">
        <v>47</v>
      </c>
      <c r="C180" s="102" t="s">
        <v>278</v>
      </c>
      <c r="D180" s="26">
        <f t="shared" si="60"/>
        <v>0</v>
      </c>
      <c r="E180" s="26">
        <f t="shared" si="63"/>
        <v>0</v>
      </c>
      <c r="F180" s="26">
        <f t="shared" si="64"/>
        <v>0</v>
      </c>
      <c r="G180" s="26">
        <f t="shared" si="56"/>
        <v>0</v>
      </c>
      <c r="H180" s="26"/>
      <c r="I180" s="809"/>
      <c r="J180" s="809"/>
      <c r="K180" s="791"/>
      <c r="L180" s="791"/>
      <c r="M180" s="791"/>
      <c r="N180" s="791"/>
      <c r="O180" s="798"/>
      <c r="P180" s="814"/>
      <c r="Q180" s="799"/>
      <c r="R180" s="802"/>
      <c r="S180" s="791"/>
      <c r="T180" s="791"/>
      <c r="U180" s="799">
        <f t="shared" si="65"/>
        <v>0</v>
      </c>
      <c r="V180" s="791"/>
      <c r="W180" s="791"/>
      <c r="X180" s="791"/>
      <c r="Y180" s="799">
        <f>Z180+AA180+AB180</f>
        <v>0</v>
      </c>
      <c r="Z180" s="861"/>
      <c r="AA180" s="1204"/>
      <c r="AB180" s="863"/>
      <c r="AC180" s="646">
        <f t="shared" si="66"/>
        <v>0</v>
      </c>
      <c r="AD180" s="678"/>
      <c r="AE180" s="678"/>
      <c r="AF180" s="678"/>
      <c r="AG180" s="678"/>
      <c r="AH180" s="825"/>
      <c r="AI180" s="825"/>
      <c r="AJ180" s="825"/>
      <c r="AK180" s="987"/>
      <c r="AL180" s="913"/>
      <c r="AM180" s="913"/>
      <c r="AN180" s="913"/>
      <c r="AO180" s="913"/>
      <c r="AP180" s="913"/>
      <c r="AQ180" s="913"/>
      <c r="AR180" s="913"/>
      <c r="AS180" s="913"/>
    </row>
    <row r="181" spans="1:45" ht="15" x14ac:dyDescent="0.25">
      <c r="A181" s="232"/>
      <c r="B181" s="102" t="s">
        <v>47</v>
      </c>
      <c r="C181" s="102" t="s">
        <v>291</v>
      </c>
      <c r="D181" s="26">
        <f t="shared" si="60"/>
        <v>0</v>
      </c>
      <c r="E181" s="26">
        <f t="shared" si="63"/>
        <v>0</v>
      </c>
      <c r="F181" s="26">
        <f t="shared" si="64"/>
        <v>0</v>
      </c>
      <c r="G181" s="26">
        <f t="shared" si="56"/>
        <v>0</v>
      </c>
      <c r="H181" s="26"/>
      <c r="I181" s="809"/>
      <c r="J181" s="809"/>
      <c r="K181" s="791"/>
      <c r="L181" s="791"/>
      <c r="M181" s="791"/>
      <c r="N181" s="791"/>
      <c r="O181" s="798"/>
      <c r="P181" s="814"/>
      <c r="Q181" s="799"/>
      <c r="R181" s="802"/>
      <c r="S181" s="791"/>
      <c r="T181" s="791"/>
      <c r="U181" s="799">
        <f t="shared" si="65"/>
        <v>0</v>
      </c>
      <c r="V181" s="791"/>
      <c r="W181" s="791"/>
      <c r="X181" s="791"/>
      <c r="Y181" s="799"/>
      <c r="Z181" s="861"/>
      <c r="AA181" s="861"/>
      <c r="AB181" s="861"/>
      <c r="AC181" s="646">
        <f t="shared" si="66"/>
        <v>0</v>
      </c>
      <c r="AD181" s="678"/>
      <c r="AE181" s="678"/>
      <c r="AF181" s="678"/>
      <c r="AG181" s="678"/>
      <c r="AH181" s="825"/>
      <c r="AI181" s="825"/>
      <c r="AJ181" s="825"/>
      <c r="AK181" s="987"/>
      <c r="AL181" s="913"/>
      <c r="AM181" s="913"/>
      <c r="AN181" s="913"/>
      <c r="AO181" s="913"/>
      <c r="AP181" s="913"/>
      <c r="AQ181" s="913"/>
      <c r="AR181" s="913"/>
      <c r="AS181" s="913"/>
    </row>
    <row r="182" spans="1:45" ht="15" x14ac:dyDescent="0.25">
      <c r="A182" s="232"/>
      <c r="B182" s="102" t="s">
        <v>285</v>
      </c>
      <c r="C182" s="102" t="s">
        <v>45</v>
      </c>
      <c r="D182" s="26">
        <f t="shared" si="60"/>
        <v>0</v>
      </c>
      <c r="E182" s="26">
        <f t="shared" si="63"/>
        <v>0</v>
      </c>
      <c r="F182" s="26">
        <f t="shared" si="64"/>
        <v>0</v>
      </c>
      <c r="G182" s="26">
        <f t="shared" si="56"/>
        <v>0</v>
      </c>
      <c r="H182" s="26"/>
      <c r="I182" s="809"/>
      <c r="J182" s="809"/>
      <c r="K182" s="791"/>
      <c r="L182" s="791"/>
      <c r="M182" s="791"/>
      <c r="N182" s="791"/>
      <c r="O182" s="798"/>
      <c r="P182" s="814"/>
      <c r="Q182" s="799"/>
      <c r="R182" s="802"/>
      <c r="S182" s="791"/>
      <c r="T182" s="791"/>
      <c r="U182" s="799">
        <f t="shared" si="65"/>
        <v>0</v>
      </c>
      <c r="V182" s="791"/>
      <c r="W182" s="791"/>
      <c r="X182" s="791"/>
      <c r="Y182" s="799"/>
      <c r="Z182" s="861"/>
      <c r="AA182" s="861"/>
      <c r="AB182" s="861"/>
      <c r="AC182" s="646">
        <f t="shared" si="66"/>
        <v>0</v>
      </c>
      <c r="AD182" s="623"/>
      <c r="AE182" s="623"/>
      <c r="AF182" s="623"/>
      <c r="AG182" s="623"/>
      <c r="AH182" s="825"/>
      <c r="AI182" s="825"/>
      <c r="AJ182" s="825"/>
      <c r="AK182" s="987"/>
      <c r="AL182" s="913"/>
      <c r="AM182" s="913"/>
      <c r="AN182" s="913"/>
      <c r="AO182" s="913"/>
      <c r="AP182" s="913"/>
      <c r="AQ182" s="913"/>
      <c r="AR182" s="913"/>
      <c r="AS182" s="913"/>
    </row>
    <row r="183" spans="1:45" ht="24.75" x14ac:dyDescent="0.25">
      <c r="A183" s="147"/>
      <c r="B183" s="102" t="s">
        <v>320</v>
      </c>
      <c r="C183" s="74" t="s">
        <v>49</v>
      </c>
      <c r="D183" s="26">
        <f t="shared" si="60"/>
        <v>256.2</v>
      </c>
      <c r="E183" s="26">
        <f t="shared" si="63"/>
        <v>0</v>
      </c>
      <c r="F183" s="26">
        <f t="shared" si="64"/>
        <v>0</v>
      </c>
      <c r="G183" s="26">
        <f t="shared" si="56"/>
        <v>256.2</v>
      </c>
      <c r="H183" s="26"/>
      <c r="I183" s="807"/>
      <c r="J183" s="807"/>
      <c r="K183" s="808"/>
      <c r="L183" s="792"/>
      <c r="M183" s="791">
        <f>N183+O183+P183</f>
        <v>256.2</v>
      </c>
      <c r="N183" s="791"/>
      <c r="O183" s="798"/>
      <c r="P183" s="814">
        <v>256.2</v>
      </c>
      <c r="Q183" s="796"/>
      <c r="R183" s="805"/>
      <c r="S183" s="792"/>
      <c r="T183" s="792"/>
      <c r="U183" s="803"/>
      <c r="V183" s="792"/>
      <c r="W183" s="792"/>
      <c r="X183" s="792"/>
      <c r="Y183" s="799">
        <f>Z183+AA183+AB183</f>
        <v>0</v>
      </c>
      <c r="Z183" s="860"/>
      <c r="AA183" s="860"/>
      <c r="AB183" s="860"/>
      <c r="AC183" s="646">
        <f t="shared" si="66"/>
        <v>0</v>
      </c>
      <c r="AD183" s="354"/>
      <c r="AE183" s="354"/>
      <c r="AF183" s="354"/>
      <c r="AG183" s="354"/>
      <c r="AH183" s="825"/>
      <c r="AI183" s="825"/>
      <c r="AJ183" s="825"/>
      <c r="AK183" s="987"/>
      <c r="AL183" s="913"/>
      <c r="AM183" s="913"/>
      <c r="AN183" s="913"/>
      <c r="AO183" s="913"/>
      <c r="AP183" s="913"/>
      <c r="AQ183" s="913"/>
      <c r="AR183" s="913"/>
      <c r="AS183" s="913"/>
    </row>
    <row r="184" spans="1:45" ht="24.75" x14ac:dyDescent="0.25">
      <c r="A184" s="147"/>
      <c r="B184" s="74" t="s">
        <v>663</v>
      </c>
      <c r="C184" s="74" t="s">
        <v>97</v>
      </c>
      <c r="D184" s="26"/>
      <c r="E184" s="26"/>
      <c r="F184" s="26"/>
      <c r="G184" s="26">
        <f t="shared" si="56"/>
        <v>164</v>
      </c>
      <c r="H184" s="26"/>
      <c r="I184" s="807"/>
      <c r="J184" s="807"/>
      <c r="K184" s="808"/>
      <c r="L184" s="792"/>
      <c r="M184" s="791"/>
      <c r="N184" s="791"/>
      <c r="O184" s="798"/>
      <c r="P184" s="814"/>
      <c r="Q184" s="796"/>
      <c r="R184" s="805"/>
      <c r="S184" s="792"/>
      <c r="T184" s="792"/>
      <c r="U184" s="803"/>
      <c r="V184" s="792"/>
      <c r="W184" s="792"/>
      <c r="X184" s="792"/>
      <c r="Y184" s="799">
        <f>Z184+AA184+AB184</f>
        <v>164</v>
      </c>
      <c r="Z184" s="860"/>
      <c r="AA184" s="860"/>
      <c r="AB184" s="1160">
        <v>164</v>
      </c>
      <c r="AC184" s="646">
        <f t="shared" si="66"/>
        <v>0</v>
      </c>
      <c r="AD184" s="354"/>
      <c r="AE184" s="354"/>
      <c r="AF184" s="354"/>
      <c r="AG184" s="354"/>
      <c r="AH184" s="825"/>
      <c r="AI184" s="825"/>
      <c r="AJ184" s="825"/>
      <c r="AK184" s="987"/>
      <c r="AL184" s="913"/>
      <c r="AM184" s="913"/>
      <c r="AN184" s="913"/>
      <c r="AO184" s="913"/>
      <c r="AP184" s="913"/>
      <c r="AQ184" s="913"/>
      <c r="AR184" s="913"/>
      <c r="AS184" s="913"/>
    </row>
    <row r="185" spans="1:45" ht="24.75" x14ac:dyDescent="0.25">
      <c r="A185" s="232"/>
      <c r="B185" s="102" t="s">
        <v>304</v>
      </c>
      <c r="C185" s="102" t="s">
        <v>291</v>
      </c>
      <c r="D185" s="26">
        <f t="shared" si="60"/>
        <v>0</v>
      </c>
      <c r="E185" s="26">
        <f t="shared" ref="E185:E200" si="67">J185+N185+R185+V185+Z185+AD185+AI185</f>
        <v>0</v>
      </c>
      <c r="F185" s="26">
        <f t="shared" ref="F185:F200" si="68">K185+O185+S185+W185+AA185+AE185+AJ185</f>
        <v>0</v>
      </c>
      <c r="G185" s="26">
        <f t="shared" si="56"/>
        <v>0</v>
      </c>
      <c r="H185" s="26"/>
      <c r="I185" s="809"/>
      <c r="J185" s="809"/>
      <c r="K185" s="791"/>
      <c r="L185" s="791"/>
      <c r="M185" s="791"/>
      <c r="N185" s="791"/>
      <c r="O185" s="798"/>
      <c r="P185" s="814"/>
      <c r="Q185" s="799">
        <f t="shared" ref="Q185:Q191" si="69">R185+S185+T185</f>
        <v>0</v>
      </c>
      <c r="R185" s="802"/>
      <c r="S185" s="791"/>
      <c r="T185" s="791"/>
      <c r="U185" s="799">
        <f>V185+W185+X185</f>
        <v>0</v>
      </c>
      <c r="V185" s="791"/>
      <c r="W185" s="791"/>
      <c r="X185" s="791"/>
      <c r="Y185" s="799">
        <f>Z185+AA185+AB185</f>
        <v>0</v>
      </c>
      <c r="Z185" s="861"/>
      <c r="AA185" s="861"/>
      <c r="AB185" s="861"/>
      <c r="AC185" s="634">
        <f>AD185+AE185+AF185</f>
        <v>0</v>
      </c>
      <c r="AD185" s="634"/>
      <c r="AE185" s="634"/>
      <c r="AF185" s="634"/>
      <c r="AG185" s="634"/>
      <c r="AH185" s="825"/>
      <c r="AI185" s="825"/>
      <c r="AJ185" s="825"/>
      <c r="AK185" s="987"/>
      <c r="AL185" s="913"/>
      <c r="AM185" s="913"/>
      <c r="AN185" s="913"/>
      <c r="AO185" s="913"/>
      <c r="AP185" s="913"/>
      <c r="AQ185" s="913"/>
      <c r="AR185" s="913"/>
      <c r="AS185" s="913"/>
    </row>
    <row r="186" spans="1:45" ht="24.75" x14ac:dyDescent="0.25">
      <c r="A186" s="232"/>
      <c r="B186" s="102" t="s">
        <v>36</v>
      </c>
      <c r="C186" s="102" t="s">
        <v>17</v>
      </c>
      <c r="D186" s="26">
        <f t="shared" si="60"/>
        <v>48.628999999999998</v>
      </c>
      <c r="E186" s="26">
        <f t="shared" si="67"/>
        <v>0</v>
      </c>
      <c r="F186" s="26">
        <f t="shared" si="68"/>
        <v>0</v>
      </c>
      <c r="G186" s="26">
        <f t="shared" si="56"/>
        <v>48.628999999999998</v>
      </c>
      <c r="H186" s="26"/>
      <c r="I186" s="809"/>
      <c r="J186" s="809"/>
      <c r="K186" s="791"/>
      <c r="L186" s="791"/>
      <c r="M186" s="791"/>
      <c r="N186" s="791"/>
      <c r="O186" s="798"/>
      <c r="P186" s="814"/>
      <c r="Q186" s="799">
        <f t="shared" si="69"/>
        <v>48.628999999999998</v>
      </c>
      <c r="R186" s="802"/>
      <c r="S186" s="791"/>
      <c r="T186" s="791">
        <v>48.628999999999998</v>
      </c>
      <c r="U186" s="799">
        <f t="shared" ref="U186:U204" si="70">V186+W186+X186</f>
        <v>0</v>
      </c>
      <c r="V186" s="791"/>
      <c r="W186" s="791"/>
      <c r="X186" s="791"/>
      <c r="Y186" s="799">
        <f t="shared" ref="Y186:Y197" si="71">Z186+AA186+AB186</f>
        <v>0</v>
      </c>
      <c r="Z186" s="861"/>
      <c r="AA186" s="861"/>
      <c r="AB186" s="861"/>
      <c r="AC186" s="634">
        <f t="shared" ref="AC186:AC193" si="72">AD186+AE186+AF186</f>
        <v>0</v>
      </c>
      <c r="AD186" s="634"/>
      <c r="AE186" s="634"/>
      <c r="AF186" s="634"/>
      <c r="AG186" s="634"/>
      <c r="AH186" s="825"/>
      <c r="AI186" s="825"/>
      <c r="AJ186" s="825"/>
      <c r="AK186" s="987"/>
      <c r="AL186" s="913"/>
      <c r="AM186" s="913"/>
      <c r="AN186" s="913"/>
      <c r="AO186" s="913"/>
      <c r="AP186" s="913"/>
      <c r="AQ186" s="913"/>
      <c r="AR186" s="913"/>
      <c r="AS186" s="913"/>
    </row>
    <row r="187" spans="1:45" ht="15" x14ac:dyDescent="0.25">
      <c r="A187" s="232"/>
      <c r="B187" s="102" t="s">
        <v>36</v>
      </c>
      <c r="C187" s="102" t="s">
        <v>68</v>
      </c>
      <c r="D187" s="26">
        <f t="shared" si="60"/>
        <v>68.194999999999993</v>
      </c>
      <c r="E187" s="26">
        <f t="shared" si="67"/>
        <v>0</v>
      </c>
      <c r="F187" s="26">
        <f t="shared" si="68"/>
        <v>0</v>
      </c>
      <c r="G187" s="26">
        <f t="shared" si="56"/>
        <v>68.194999999999993</v>
      </c>
      <c r="H187" s="26"/>
      <c r="I187" s="809"/>
      <c r="J187" s="809"/>
      <c r="K187" s="791"/>
      <c r="L187" s="791"/>
      <c r="M187" s="791"/>
      <c r="N187" s="791"/>
      <c r="O187" s="798"/>
      <c r="P187" s="814"/>
      <c r="Q187" s="799">
        <f t="shared" si="69"/>
        <v>68.194999999999993</v>
      </c>
      <c r="R187" s="802"/>
      <c r="S187" s="791"/>
      <c r="T187" s="791">
        <v>68.194999999999993</v>
      </c>
      <c r="U187" s="799">
        <f t="shared" si="70"/>
        <v>0</v>
      </c>
      <c r="V187" s="791"/>
      <c r="W187" s="791"/>
      <c r="X187" s="791"/>
      <c r="Y187" s="799">
        <f t="shared" si="71"/>
        <v>0</v>
      </c>
      <c r="Z187" s="861"/>
      <c r="AA187" s="861"/>
      <c r="AB187" s="861"/>
      <c r="AC187" s="634">
        <f t="shared" si="72"/>
        <v>0</v>
      </c>
      <c r="AD187" s="634"/>
      <c r="AE187" s="634"/>
      <c r="AF187" s="634"/>
      <c r="AG187" s="634"/>
      <c r="AH187" s="825"/>
      <c r="AI187" s="825"/>
      <c r="AJ187" s="825"/>
      <c r="AK187" s="987"/>
      <c r="AL187" s="913"/>
      <c r="AM187" s="913"/>
      <c r="AN187" s="913"/>
      <c r="AO187" s="913"/>
      <c r="AP187" s="913"/>
      <c r="AQ187" s="913"/>
      <c r="AR187" s="913"/>
      <c r="AS187" s="913"/>
    </row>
    <row r="188" spans="1:45" ht="15" x14ac:dyDescent="0.25">
      <c r="A188" s="232"/>
      <c r="B188" s="102" t="s">
        <v>36</v>
      </c>
      <c r="C188" s="102" t="s">
        <v>24</v>
      </c>
      <c r="D188" s="26">
        <f t="shared" si="60"/>
        <v>54.558999999999997</v>
      </c>
      <c r="E188" s="26">
        <f t="shared" si="67"/>
        <v>0</v>
      </c>
      <c r="F188" s="26">
        <f t="shared" si="68"/>
        <v>0</v>
      </c>
      <c r="G188" s="26">
        <f t="shared" si="56"/>
        <v>54.558999999999997</v>
      </c>
      <c r="H188" s="26"/>
      <c r="I188" s="809"/>
      <c r="J188" s="809"/>
      <c r="K188" s="791"/>
      <c r="L188" s="791"/>
      <c r="M188" s="791"/>
      <c r="N188" s="791"/>
      <c r="O188" s="798"/>
      <c r="P188" s="814"/>
      <c r="Q188" s="799">
        <f t="shared" si="69"/>
        <v>54.558999999999997</v>
      </c>
      <c r="R188" s="802"/>
      <c r="S188" s="791"/>
      <c r="T188" s="791">
        <v>54.558999999999997</v>
      </c>
      <c r="U188" s="799">
        <f t="shared" si="70"/>
        <v>0</v>
      </c>
      <c r="V188" s="791"/>
      <c r="W188" s="791"/>
      <c r="X188" s="791"/>
      <c r="Y188" s="799">
        <f t="shared" si="71"/>
        <v>0</v>
      </c>
      <c r="Z188" s="861"/>
      <c r="AA188" s="861"/>
      <c r="AB188" s="861"/>
      <c r="AC188" s="634">
        <f t="shared" si="72"/>
        <v>0</v>
      </c>
      <c r="AD188" s="634"/>
      <c r="AE188" s="634"/>
      <c r="AF188" s="634"/>
      <c r="AG188" s="634"/>
      <c r="AH188" s="825"/>
      <c r="AI188" s="825"/>
      <c r="AJ188" s="825"/>
      <c r="AK188" s="987"/>
      <c r="AL188" s="913"/>
      <c r="AM188" s="913"/>
      <c r="AN188" s="913"/>
      <c r="AO188" s="913"/>
      <c r="AP188" s="913"/>
      <c r="AQ188" s="913"/>
      <c r="AR188" s="913"/>
      <c r="AS188" s="913"/>
    </row>
    <row r="189" spans="1:45" ht="60" x14ac:dyDescent="0.25">
      <c r="A189" s="232"/>
      <c r="B189" s="397" t="s">
        <v>132</v>
      </c>
      <c r="C189" s="397" t="s">
        <v>600</v>
      </c>
      <c r="D189" s="26">
        <f t="shared" si="60"/>
        <v>879.25199999999995</v>
      </c>
      <c r="E189" s="26">
        <f t="shared" si="67"/>
        <v>0</v>
      </c>
      <c r="F189" s="26">
        <f t="shared" si="68"/>
        <v>0</v>
      </c>
      <c r="G189" s="26">
        <f t="shared" si="56"/>
        <v>879.25199999999995</v>
      </c>
      <c r="H189" s="26"/>
      <c r="I189" s="809"/>
      <c r="J189" s="809"/>
      <c r="K189" s="791"/>
      <c r="L189" s="791"/>
      <c r="M189" s="791"/>
      <c r="N189" s="791"/>
      <c r="O189" s="798"/>
      <c r="P189" s="814"/>
      <c r="Q189" s="799">
        <f t="shared" si="69"/>
        <v>86.745999999999995</v>
      </c>
      <c r="R189" s="802"/>
      <c r="S189" s="791"/>
      <c r="T189" s="791">
        <v>86.745999999999995</v>
      </c>
      <c r="U189" s="799">
        <f t="shared" si="70"/>
        <v>792.50599999999997</v>
      </c>
      <c r="V189" s="791"/>
      <c r="W189" s="791"/>
      <c r="X189" s="791">
        <f>945.703-153.197</f>
        <v>792.50599999999997</v>
      </c>
      <c r="Y189" s="799">
        <f t="shared" si="71"/>
        <v>0</v>
      </c>
      <c r="Z189" s="861"/>
      <c r="AA189" s="861"/>
      <c r="AB189" s="861"/>
      <c r="AC189" s="634">
        <f t="shared" si="72"/>
        <v>0</v>
      </c>
      <c r="AD189" s="634"/>
      <c r="AE189" s="634"/>
      <c r="AF189" s="634"/>
      <c r="AG189" s="634"/>
      <c r="AH189" s="825"/>
      <c r="AI189" s="825"/>
      <c r="AJ189" s="825"/>
      <c r="AK189" s="987"/>
      <c r="AL189" s="913"/>
      <c r="AM189" s="913"/>
      <c r="AN189" s="913"/>
      <c r="AO189" s="913"/>
      <c r="AP189" s="913"/>
      <c r="AQ189" s="913"/>
      <c r="AR189" s="913"/>
      <c r="AS189" s="913"/>
    </row>
    <row r="190" spans="1:45" ht="36" x14ac:dyDescent="0.25">
      <c r="A190" s="232"/>
      <c r="B190" s="397" t="s">
        <v>598</v>
      </c>
      <c r="C190" s="397" t="s">
        <v>599</v>
      </c>
      <c r="D190" s="26">
        <f t="shared" si="60"/>
        <v>1237.2460000000001</v>
      </c>
      <c r="E190" s="26">
        <f t="shared" si="67"/>
        <v>0</v>
      </c>
      <c r="F190" s="26">
        <f t="shared" si="68"/>
        <v>465</v>
      </c>
      <c r="G190" s="26">
        <f t="shared" si="56"/>
        <v>772.24599999999998</v>
      </c>
      <c r="H190" s="26"/>
      <c r="I190" s="809"/>
      <c r="J190" s="809"/>
      <c r="K190" s="791"/>
      <c r="L190" s="791"/>
      <c r="M190" s="791"/>
      <c r="N190" s="791"/>
      <c r="O190" s="798"/>
      <c r="P190" s="814"/>
      <c r="Q190" s="799">
        <f t="shared" si="69"/>
        <v>600</v>
      </c>
      <c r="R190" s="802"/>
      <c r="S190" s="791">
        <v>465</v>
      </c>
      <c r="T190" s="791">
        <v>135</v>
      </c>
      <c r="U190" s="799">
        <f t="shared" si="70"/>
        <v>637.24599999999998</v>
      </c>
      <c r="V190" s="791"/>
      <c r="W190" s="791"/>
      <c r="X190" s="791">
        <v>637.24599999999998</v>
      </c>
      <c r="Y190" s="799">
        <f t="shared" si="71"/>
        <v>0</v>
      </c>
      <c r="Z190" s="861"/>
      <c r="AA190" s="861"/>
      <c r="AB190" s="861"/>
      <c r="AC190" s="634">
        <f t="shared" si="72"/>
        <v>0</v>
      </c>
      <c r="AD190" s="634"/>
      <c r="AE190" s="634"/>
      <c r="AF190" s="634"/>
      <c r="AG190" s="634"/>
      <c r="AH190" s="825"/>
      <c r="AI190" s="825"/>
      <c r="AJ190" s="825"/>
      <c r="AK190" s="987"/>
      <c r="AL190" s="913"/>
      <c r="AM190" s="913"/>
      <c r="AN190" s="913"/>
      <c r="AO190" s="913"/>
      <c r="AP190" s="913"/>
      <c r="AQ190" s="913"/>
      <c r="AR190" s="913"/>
      <c r="AS190" s="913"/>
    </row>
    <row r="191" spans="1:45" ht="36.75" x14ac:dyDescent="0.25">
      <c r="A191" s="143"/>
      <c r="B191" s="74" t="s">
        <v>33</v>
      </c>
      <c r="C191" s="74" t="s">
        <v>722</v>
      </c>
      <c r="D191" s="26">
        <f t="shared" si="60"/>
        <v>371.14542</v>
      </c>
      <c r="E191" s="26">
        <f t="shared" si="67"/>
        <v>0</v>
      </c>
      <c r="F191" s="26">
        <f t="shared" si="68"/>
        <v>359.77093000000002</v>
      </c>
      <c r="G191" s="26">
        <f t="shared" si="56"/>
        <v>11.37449</v>
      </c>
      <c r="H191" s="26"/>
      <c r="I191" s="809"/>
      <c r="J191" s="809"/>
      <c r="K191" s="791"/>
      <c r="L191" s="791"/>
      <c r="M191" s="791"/>
      <c r="N191" s="791"/>
      <c r="O191" s="798"/>
      <c r="P191" s="814"/>
      <c r="Q191" s="799">
        <f t="shared" si="69"/>
        <v>144.73129</v>
      </c>
      <c r="R191" s="802"/>
      <c r="S191" s="791">
        <v>144.73129</v>
      </c>
      <c r="T191" s="791"/>
      <c r="U191" s="799">
        <f t="shared" si="70"/>
        <v>0</v>
      </c>
      <c r="V191" s="791"/>
      <c r="W191" s="791"/>
      <c r="X191" s="791"/>
      <c r="Y191" s="799">
        <f t="shared" si="71"/>
        <v>0</v>
      </c>
      <c r="Z191" s="861"/>
      <c r="AA191" s="861"/>
      <c r="AB191" s="861"/>
      <c r="AC191" s="634">
        <f t="shared" si="72"/>
        <v>226.41413</v>
      </c>
      <c r="AD191" s="634"/>
      <c r="AE191" s="634">
        <v>215.03963999999999</v>
      </c>
      <c r="AF191" s="634">
        <v>11.37449</v>
      </c>
      <c r="AG191" s="634"/>
      <c r="AH191" s="825"/>
      <c r="AI191" s="825"/>
      <c r="AJ191" s="825"/>
      <c r="AK191" s="987"/>
      <c r="AL191" s="913"/>
      <c r="AM191" s="913"/>
      <c r="AN191" s="913"/>
      <c r="AO191" s="913"/>
      <c r="AP191" s="913"/>
      <c r="AQ191" s="913"/>
      <c r="AR191" s="913"/>
      <c r="AS191" s="913"/>
    </row>
    <row r="192" spans="1:45" ht="15" x14ac:dyDescent="0.25">
      <c r="A192" s="232"/>
      <c r="B192" s="102" t="s">
        <v>308</v>
      </c>
      <c r="C192" s="102" t="s">
        <v>158</v>
      </c>
      <c r="D192" s="26">
        <f t="shared" si="60"/>
        <v>290</v>
      </c>
      <c r="E192" s="26">
        <f t="shared" si="67"/>
        <v>0</v>
      </c>
      <c r="F192" s="26">
        <f t="shared" si="68"/>
        <v>0</v>
      </c>
      <c r="G192" s="26">
        <f t="shared" si="56"/>
        <v>290</v>
      </c>
      <c r="H192" s="26"/>
      <c r="I192" s="809"/>
      <c r="J192" s="809"/>
      <c r="K192" s="791"/>
      <c r="L192" s="791"/>
      <c r="M192" s="791"/>
      <c r="N192" s="791"/>
      <c r="O192" s="798"/>
      <c r="P192" s="814"/>
      <c r="Q192" s="799"/>
      <c r="R192" s="802"/>
      <c r="S192" s="791"/>
      <c r="T192" s="791"/>
      <c r="U192" s="802">
        <f t="shared" si="70"/>
        <v>290</v>
      </c>
      <c r="V192" s="791"/>
      <c r="W192" s="797"/>
      <c r="X192" s="791">
        <v>290</v>
      </c>
      <c r="Y192" s="799">
        <f t="shared" si="71"/>
        <v>0</v>
      </c>
      <c r="Z192" s="861"/>
      <c r="AA192" s="861"/>
      <c r="AB192" s="861"/>
      <c r="AC192" s="634">
        <f t="shared" si="72"/>
        <v>0</v>
      </c>
      <c r="AD192" s="634"/>
      <c r="AE192" s="634"/>
      <c r="AF192" s="634"/>
      <c r="AG192" s="634"/>
      <c r="AH192" s="825"/>
      <c r="AI192" s="825"/>
      <c r="AJ192" s="825"/>
      <c r="AK192" s="987"/>
      <c r="AL192" s="913"/>
      <c r="AM192" s="913"/>
      <c r="AN192" s="913"/>
      <c r="AO192" s="913"/>
      <c r="AP192" s="913"/>
      <c r="AQ192" s="913"/>
      <c r="AR192" s="913"/>
      <c r="AS192" s="913"/>
    </row>
    <row r="193" spans="1:45" ht="36.75" x14ac:dyDescent="0.25">
      <c r="A193" s="232"/>
      <c r="B193" s="102" t="s">
        <v>593</v>
      </c>
      <c r="C193" s="102" t="s">
        <v>158</v>
      </c>
      <c r="D193" s="26">
        <f t="shared" si="60"/>
        <v>333.33499999999998</v>
      </c>
      <c r="E193" s="26">
        <f t="shared" si="67"/>
        <v>0</v>
      </c>
      <c r="F193" s="26">
        <f t="shared" si="68"/>
        <v>0</v>
      </c>
      <c r="G193" s="26">
        <f t="shared" si="56"/>
        <v>333.33499999999998</v>
      </c>
      <c r="H193" s="26"/>
      <c r="I193" s="809"/>
      <c r="J193" s="809"/>
      <c r="K193" s="791"/>
      <c r="L193" s="791"/>
      <c r="M193" s="791"/>
      <c r="N193" s="791"/>
      <c r="O193" s="798"/>
      <c r="P193" s="814"/>
      <c r="Q193" s="799"/>
      <c r="R193" s="802"/>
      <c r="S193" s="791"/>
      <c r="T193" s="791"/>
      <c r="U193" s="799">
        <f t="shared" si="70"/>
        <v>333.33499999999998</v>
      </c>
      <c r="V193" s="791"/>
      <c r="W193" s="797"/>
      <c r="X193" s="791">
        <v>333.33499999999998</v>
      </c>
      <c r="Y193" s="799">
        <f t="shared" si="71"/>
        <v>0</v>
      </c>
      <c r="Z193" s="861"/>
      <c r="AA193" s="861"/>
      <c r="AB193" s="861"/>
      <c r="AC193" s="634">
        <f t="shared" si="72"/>
        <v>0</v>
      </c>
      <c r="AD193" s="634"/>
      <c r="AE193" s="634"/>
      <c r="AF193" s="634"/>
      <c r="AG193" s="634"/>
      <c r="AH193" s="825"/>
      <c r="AI193" s="825"/>
      <c r="AJ193" s="825"/>
      <c r="AK193" s="987"/>
      <c r="AL193" s="913"/>
      <c r="AM193" s="913"/>
      <c r="AN193" s="913"/>
      <c r="AO193" s="913"/>
      <c r="AP193" s="913"/>
      <c r="AQ193" s="913"/>
      <c r="AR193" s="913"/>
      <c r="AS193" s="913"/>
    </row>
    <row r="194" spans="1:45" ht="24.75" x14ac:dyDescent="0.25">
      <c r="A194" s="232"/>
      <c r="B194" s="102" t="s">
        <v>573</v>
      </c>
      <c r="C194" s="102" t="s">
        <v>34</v>
      </c>
      <c r="D194" s="26">
        <f t="shared" si="60"/>
        <v>228.43520000000001</v>
      </c>
      <c r="E194" s="26">
        <f t="shared" si="67"/>
        <v>0</v>
      </c>
      <c r="F194" s="26">
        <f t="shared" si="68"/>
        <v>216.93520000000001</v>
      </c>
      <c r="G194" s="26">
        <f t="shared" si="56"/>
        <v>11.5</v>
      </c>
      <c r="H194" s="26"/>
      <c r="I194" s="809"/>
      <c r="J194" s="809"/>
      <c r="K194" s="791"/>
      <c r="L194" s="791"/>
      <c r="M194" s="791"/>
      <c r="N194" s="791"/>
      <c r="O194" s="798"/>
      <c r="P194" s="814"/>
      <c r="Q194" s="799"/>
      <c r="R194" s="802"/>
      <c r="S194" s="791"/>
      <c r="T194" s="791"/>
      <c r="U194" s="799">
        <f t="shared" si="70"/>
        <v>228.43520000000001</v>
      </c>
      <c r="V194" s="791"/>
      <c r="W194" s="791">
        <v>216.93520000000001</v>
      </c>
      <c r="X194" s="791">
        <v>11.5</v>
      </c>
      <c r="Y194" s="799">
        <f t="shared" si="71"/>
        <v>0</v>
      </c>
      <c r="Z194" s="861"/>
      <c r="AA194" s="861"/>
      <c r="AB194" s="861"/>
      <c r="AC194" s="634"/>
      <c r="AD194" s="634"/>
      <c r="AE194" s="634"/>
      <c r="AF194" s="634"/>
      <c r="AG194" s="634"/>
      <c r="AH194" s="825"/>
      <c r="AI194" s="825"/>
      <c r="AJ194" s="825"/>
      <c r="AK194" s="987"/>
      <c r="AL194" s="913"/>
      <c r="AM194" s="913"/>
      <c r="AN194" s="913"/>
      <c r="AO194" s="913"/>
      <c r="AP194" s="913"/>
      <c r="AQ194" s="913"/>
      <c r="AR194" s="913"/>
      <c r="AS194" s="913"/>
    </row>
    <row r="195" spans="1:45" ht="24.75" x14ac:dyDescent="0.25">
      <c r="A195" s="232"/>
      <c r="B195" s="102" t="s">
        <v>576</v>
      </c>
      <c r="C195" s="102" t="s">
        <v>34</v>
      </c>
      <c r="D195" s="26">
        <f t="shared" si="60"/>
        <v>439.20210000000003</v>
      </c>
      <c r="E195" s="26">
        <f t="shared" si="67"/>
        <v>0</v>
      </c>
      <c r="F195" s="26">
        <f t="shared" si="68"/>
        <v>417.16500000000002</v>
      </c>
      <c r="G195" s="26">
        <f t="shared" ref="G195:G207" si="73">L195+P195+T195+X195+AB195+AF195+AK195+AO195+AS195</f>
        <v>22.037099999999999</v>
      </c>
      <c r="H195" s="26"/>
      <c r="I195" s="809"/>
      <c r="J195" s="809"/>
      <c r="K195" s="791"/>
      <c r="L195" s="791"/>
      <c r="M195" s="791"/>
      <c r="N195" s="791"/>
      <c r="O195" s="798"/>
      <c r="P195" s="814"/>
      <c r="Q195" s="799"/>
      <c r="R195" s="802"/>
      <c r="S195" s="791"/>
      <c r="T195" s="791"/>
      <c r="U195" s="799">
        <f t="shared" si="70"/>
        <v>439.20210000000003</v>
      </c>
      <c r="V195" s="791"/>
      <c r="W195" s="791">
        <v>417.16500000000002</v>
      </c>
      <c r="X195" s="791">
        <v>22.037099999999999</v>
      </c>
      <c r="Y195" s="799">
        <f t="shared" si="71"/>
        <v>0</v>
      </c>
      <c r="Z195" s="861"/>
      <c r="AA195" s="861"/>
      <c r="AB195" s="861"/>
      <c r="AC195" s="634"/>
      <c r="AD195" s="634"/>
      <c r="AE195" s="634"/>
      <c r="AF195" s="634"/>
      <c r="AG195" s="634"/>
      <c r="AH195" s="825"/>
      <c r="AI195" s="825"/>
      <c r="AJ195" s="825"/>
      <c r="AK195" s="987"/>
      <c r="AL195" s="913"/>
      <c r="AM195" s="913"/>
      <c r="AN195" s="913"/>
      <c r="AO195" s="913"/>
      <c r="AP195" s="913"/>
      <c r="AQ195" s="913"/>
      <c r="AR195" s="913"/>
      <c r="AS195" s="913"/>
    </row>
    <row r="196" spans="1:45" ht="36.75" x14ac:dyDescent="0.25">
      <c r="A196" s="232"/>
      <c r="B196" s="102" t="s">
        <v>631</v>
      </c>
      <c r="C196" s="102" t="s">
        <v>26</v>
      </c>
      <c r="D196" s="26">
        <f t="shared" si="60"/>
        <v>238</v>
      </c>
      <c r="E196" s="26">
        <f t="shared" si="67"/>
        <v>0</v>
      </c>
      <c r="F196" s="26">
        <f t="shared" si="68"/>
        <v>0</v>
      </c>
      <c r="G196" s="26">
        <f t="shared" si="73"/>
        <v>238</v>
      </c>
      <c r="H196" s="26"/>
      <c r="I196" s="809"/>
      <c r="J196" s="809"/>
      <c r="K196" s="791"/>
      <c r="L196" s="791"/>
      <c r="M196" s="791"/>
      <c r="N196" s="791"/>
      <c r="O196" s="798"/>
      <c r="P196" s="814"/>
      <c r="Q196" s="799"/>
      <c r="R196" s="802"/>
      <c r="S196" s="791"/>
      <c r="T196" s="791"/>
      <c r="U196" s="799">
        <f t="shared" si="70"/>
        <v>238</v>
      </c>
      <c r="V196" s="791"/>
      <c r="W196" s="791"/>
      <c r="X196" s="791">
        <v>238</v>
      </c>
      <c r="Y196" s="799">
        <f t="shared" si="71"/>
        <v>0</v>
      </c>
      <c r="Z196" s="861"/>
      <c r="AA196" s="861"/>
      <c r="AB196" s="861"/>
      <c r="AC196" s="634"/>
      <c r="AD196" s="634"/>
      <c r="AE196" s="634"/>
      <c r="AF196" s="634"/>
      <c r="AG196" s="634"/>
      <c r="AH196" s="825"/>
      <c r="AI196" s="825"/>
      <c r="AJ196" s="825"/>
      <c r="AK196" s="987"/>
      <c r="AL196" s="913"/>
      <c r="AM196" s="913"/>
      <c r="AN196" s="913"/>
      <c r="AO196" s="913"/>
      <c r="AP196" s="913"/>
      <c r="AQ196" s="913"/>
      <c r="AR196" s="913"/>
      <c r="AS196" s="913"/>
    </row>
    <row r="197" spans="1:45" ht="24" x14ac:dyDescent="0.25">
      <c r="A197" s="232"/>
      <c r="B197" s="259" t="s">
        <v>601</v>
      </c>
      <c r="C197" s="397" t="s">
        <v>37</v>
      </c>
      <c r="D197" s="26">
        <f t="shared" si="60"/>
        <v>161</v>
      </c>
      <c r="E197" s="26">
        <f t="shared" si="67"/>
        <v>0</v>
      </c>
      <c r="F197" s="26">
        <f t="shared" si="68"/>
        <v>0</v>
      </c>
      <c r="G197" s="26">
        <f t="shared" si="73"/>
        <v>161</v>
      </c>
      <c r="H197" s="26"/>
      <c r="I197" s="809"/>
      <c r="J197" s="809"/>
      <c r="K197" s="791"/>
      <c r="L197" s="791"/>
      <c r="M197" s="791"/>
      <c r="N197" s="791"/>
      <c r="O197" s="798"/>
      <c r="P197" s="814"/>
      <c r="Q197" s="799"/>
      <c r="R197" s="802"/>
      <c r="S197" s="791"/>
      <c r="T197" s="791"/>
      <c r="U197" s="799">
        <f t="shared" si="70"/>
        <v>100</v>
      </c>
      <c r="V197" s="791"/>
      <c r="W197" s="791"/>
      <c r="X197" s="791">
        <v>100</v>
      </c>
      <c r="Y197" s="799">
        <f t="shared" si="71"/>
        <v>61</v>
      </c>
      <c r="Z197" s="861"/>
      <c r="AA197" s="861"/>
      <c r="AB197" s="863">
        <v>61</v>
      </c>
      <c r="AC197" s="634"/>
      <c r="AD197" s="634"/>
      <c r="AE197" s="634"/>
      <c r="AF197" s="634"/>
      <c r="AG197" s="634"/>
      <c r="AH197" s="825"/>
      <c r="AI197" s="825"/>
      <c r="AJ197" s="825"/>
      <c r="AK197" s="987"/>
      <c r="AL197" s="913"/>
      <c r="AM197" s="913"/>
      <c r="AN197" s="913"/>
      <c r="AO197" s="913"/>
      <c r="AP197" s="913"/>
      <c r="AQ197" s="913"/>
      <c r="AR197" s="913"/>
      <c r="AS197" s="913"/>
    </row>
    <row r="198" spans="1:45" ht="24" x14ac:dyDescent="0.25">
      <c r="A198" s="232"/>
      <c r="B198" s="259" t="s">
        <v>602</v>
      </c>
      <c r="C198" s="397" t="s">
        <v>603</v>
      </c>
      <c r="D198" s="26">
        <f t="shared" si="60"/>
        <v>36.9</v>
      </c>
      <c r="E198" s="26">
        <f t="shared" si="67"/>
        <v>0</v>
      </c>
      <c r="F198" s="26">
        <f t="shared" si="68"/>
        <v>0</v>
      </c>
      <c r="G198" s="26">
        <f t="shared" si="73"/>
        <v>36.9</v>
      </c>
      <c r="H198" s="26"/>
      <c r="I198" s="809"/>
      <c r="J198" s="809"/>
      <c r="K198" s="791"/>
      <c r="L198" s="791"/>
      <c r="M198" s="791"/>
      <c r="N198" s="791"/>
      <c r="O198" s="798"/>
      <c r="P198" s="814"/>
      <c r="Q198" s="799"/>
      <c r="R198" s="802"/>
      <c r="S198" s="791"/>
      <c r="T198" s="791"/>
      <c r="U198" s="799">
        <f t="shared" si="70"/>
        <v>36.9</v>
      </c>
      <c r="V198" s="791"/>
      <c r="W198" s="791"/>
      <c r="X198" s="791">
        <v>36.9</v>
      </c>
      <c r="Y198" s="799"/>
      <c r="Z198" s="861"/>
      <c r="AA198" s="861"/>
      <c r="AB198" s="861"/>
      <c r="AC198" s="634"/>
      <c r="AD198" s="634"/>
      <c r="AE198" s="634"/>
      <c r="AF198" s="634"/>
      <c r="AG198" s="634"/>
      <c r="AH198" s="825"/>
      <c r="AI198" s="825"/>
      <c r="AJ198" s="825"/>
      <c r="AK198" s="987"/>
      <c r="AL198" s="913"/>
      <c r="AM198" s="913"/>
      <c r="AN198" s="913"/>
      <c r="AO198" s="913"/>
      <c r="AP198" s="913"/>
      <c r="AQ198" s="913"/>
      <c r="AR198" s="913"/>
      <c r="AS198" s="913"/>
    </row>
    <row r="199" spans="1:45" ht="24.75" thickBot="1" x14ac:dyDescent="0.3">
      <c r="A199" s="232"/>
      <c r="B199" s="755" t="s">
        <v>604</v>
      </c>
      <c r="C199" s="920" t="s">
        <v>26</v>
      </c>
      <c r="D199" s="26">
        <f t="shared" si="60"/>
        <v>302.64299999999997</v>
      </c>
      <c r="E199" s="26">
        <f t="shared" si="67"/>
        <v>0</v>
      </c>
      <c r="F199" s="26">
        <f t="shared" si="68"/>
        <v>0</v>
      </c>
      <c r="G199" s="26">
        <f t="shared" si="73"/>
        <v>302.64299999999997</v>
      </c>
      <c r="H199" s="26"/>
      <c r="I199" s="809"/>
      <c r="J199" s="809"/>
      <c r="K199" s="791"/>
      <c r="L199" s="791"/>
      <c r="M199" s="791"/>
      <c r="N199" s="791"/>
      <c r="O199" s="798"/>
      <c r="P199" s="814"/>
      <c r="Q199" s="799"/>
      <c r="R199" s="802"/>
      <c r="S199" s="791"/>
      <c r="T199" s="791"/>
      <c r="U199" s="799">
        <f t="shared" si="70"/>
        <v>302.64299999999997</v>
      </c>
      <c r="V199" s="791"/>
      <c r="W199" s="791"/>
      <c r="X199" s="791">
        <v>302.64299999999997</v>
      </c>
      <c r="Y199" s="799"/>
      <c r="Z199" s="861"/>
      <c r="AA199" s="861"/>
      <c r="AB199" s="861"/>
      <c r="AC199" s="634"/>
      <c r="AD199" s="634"/>
      <c r="AE199" s="634"/>
      <c r="AF199" s="634"/>
      <c r="AG199" s="634"/>
      <c r="AH199" s="825"/>
      <c r="AI199" s="825"/>
      <c r="AJ199" s="825"/>
      <c r="AK199" s="987"/>
      <c r="AL199" s="913"/>
      <c r="AM199" s="913"/>
      <c r="AN199" s="913"/>
      <c r="AO199" s="913"/>
      <c r="AP199" s="913"/>
      <c r="AQ199" s="913"/>
      <c r="AR199" s="913"/>
      <c r="AS199" s="913"/>
    </row>
    <row r="200" spans="1:45" ht="36" x14ac:dyDescent="0.25">
      <c r="A200" s="232"/>
      <c r="B200" s="756" t="s">
        <v>632</v>
      </c>
      <c r="C200" s="921" t="s">
        <v>612</v>
      </c>
      <c r="D200" s="26">
        <f t="shared" si="60"/>
        <v>238.1</v>
      </c>
      <c r="E200" s="26">
        <f t="shared" si="67"/>
        <v>0</v>
      </c>
      <c r="F200" s="26">
        <f t="shared" si="68"/>
        <v>0</v>
      </c>
      <c r="G200" s="26">
        <f t="shared" si="73"/>
        <v>238.1</v>
      </c>
      <c r="H200" s="26"/>
      <c r="I200" s="809"/>
      <c r="J200" s="809"/>
      <c r="K200" s="791"/>
      <c r="L200" s="791"/>
      <c r="M200" s="791"/>
      <c r="N200" s="791"/>
      <c r="O200" s="798"/>
      <c r="P200" s="814"/>
      <c r="Q200" s="799"/>
      <c r="R200" s="802"/>
      <c r="S200" s="791"/>
      <c r="T200" s="791"/>
      <c r="U200" s="799">
        <f t="shared" si="70"/>
        <v>238.1</v>
      </c>
      <c r="V200" s="791"/>
      <c r="W200" s="791"/>
      <c r="X200" s="791">
        <v>238.1</v>
      </c>
      <c r="Y200" s="799"/>
      <c r="Z200" s="861"/>
      <c r="AA200" s="861"/>
      <c r="AB200" s="861"/>
      <c r="AC200" s="634"/>
      <c r="AD200" s="634"/>
      <c r="AE200" s="634"/>
      <c r="AF200" s="634"/>
      <c r="AG200" s="634"/>
      <c r="AH200" s="825"/>
      <c r="AI200" s="825"/>
      <c r="AJ200" s="825"/>
      <c r="AK200" s="987"/>
      <c r="AL200" s="913"/>
      <c r="AM200" s="913"/>
      <c r="AN200" s="913"/>
      <c r="AO200" s="913"/>
      <c r="AP200" s="913"/>
      <c r="AQ200" s="913"/>
      <c r="AR200" s="913"/>
      <c r="AS200" s="913"/>
    </row>
    <row r="201" spans="1:45" ht="24" x14ac:dyDescent="0.25">
      <c r="A201" s="232"/>
      <c r="B201" s="756" t="s">
        <v>622</v>
      </c>
      <c r="C201" s="921" t="s">
        <v>70</v>
      </c>
      <c r="D201" s="26">
        <f t="shared" si="60"/>
        <v>63.345229999999994</v>
      </c>
      <c r="E201" s="26"/>
      <c r="F201" s="26"/>
      <c r="G201" s="26">
        <f t="shared" si="73"/>
        <v>63.345229999999994</v>
      </c>
      <c r="H201" s="26"/>
      <c r="I201" s="809"/>
      <c r="J201" s="809"/>
      <c r="K201" s="791"/>
      <c r="L201" s="791"/>
      <c r="M201" s="791"/>
      <c r="N201" s="791"/>
      <c r="O201" s="798"/>
      <c r="P201" s="814"/>
      <c r="Q201" s="799"/>
      <c r="R201" s="802"/>
      <c r="S201" s="791"/>
      <c r="T201" s="791"/>
      <c r="U201" s="799">
        <f t="shared" si="70"/>
        <v>0</v>
      </c>
      <c r="V201" s="791"/>
      <c r="W201" s="791"/>
      <c r="X201" s="791"/>
      <c r="Y201" s="799">
        <f>Z201+AA201+AB201</f>
        <v>971.64522999999997</v>
      </c>
      <c r="Z201" s="1161"/>
      <c r="AA201" s="799">
        <f>1025.5-117.2</f>
        <v>908.3</v>
      </c>
      <c r="AB201" s="799">
        <f>54+15.6-6.25477</f>
        <v>63.345229999999994</v>
      </c>
      <c r="AC201" s="204">
        <f t="shared" ref="AC201:AC206" si="74">AD201+AE201+AF201</f>
        <v>0</v>
      </c>
      <c r="AD201" s="624"/>
      <c r="AE201" s="624"/>
      <c r="AF201" s="624"/>
      <c r="AG201" s="624"/>
      <c r="AH201" s="204">
        <f>AI201+AJ201+AK201</f>
        <v>0</v>
      </c>
      <c r="AI201" s="646"/>
      <c r="AJ201" s="646"/>
      <c r="AK201" s="989"/>
      <c r="AL201" s="913"/>
      <c r="AM201" s="913"/>
      <c r="AN201" s="913"/>
      <c r="AO201" s="913"/>
      <c r="AP201" s="913"/>
      <c r="AQ201" s="913"/>
      <c r="AR201" s="913"/>
      <c r="AS201" s="913"/>
    </row>
    <row r="202" spans="1:45" ht="15" x14ac:dyDescent="0.25">
      <c r="A202" s="232"/>
      <c r="B202" s="756" t="s">
        <v>634</v>
      </c>
      <c r="C202" s="921" t="s">
        <v>43</v>
      </c>
      <c r="D202" s="26">
        <f t="shared" si="60"/>
        <v>3100</v>
      </c>
      <c r="E202" s="26"/>
      <c r="F202" s="26"/>
      <c r="G202" s="26">
        <f t="shared" si="73"/>
        <v>3100</v>
      </c>
      <c r="H202" s="26"/>
      <c r="I202" s="809"/>
      <c r="J202" s="809"/>
      <c r="K202" s="791"/>
      <c r="L202" s="791"/>
      <c r="M202" s="791"/>
      <c r="N202" s="791"/>
      <c r="O202" s="798"/>
      <c r="P202" s="814"/>
      <c r="Q202" s="799"/>
      <c r="R202" s="802"/>
      <c r="S202" s="791"/>
      <c r="T202" s="791"/>
      <c r="U202" s="799">
        <f t="shared" si="70"/>
        <v>3000</v>
      </c>
      <c r="V202" s="791"/>
      <c r="W202" s="791"/>
      <c r="X202" s="791">
        <v>3000</v>
      </c>
      <c r="Y202" s="799">
        <f t="shared" ref="Y202:Y227" si="75">Z202+AA202+AB202</f>
        <v>100</v>
      </c>
      <c r="Z202" s="861"/>
      <c r="AA202" s="861"/>
      <c r="AB202" s="863">
        <v>100</v>
      </c>
      <c r="AC202" s="204">
        <f t="shared" si="74"/>
        <v>0</v>
      </c>
      <c r="AD202" s="624"/>
      <c r="AE202" s="624"/>
      <c r="AF202" s="624"/>
      <c r="AG202" s="624"/>
      <c r="AH202" s="204">
        <f t="shared" ref="AH202:AH225" si="76">AI202+AJ202+AK202</f>
        <v>0</v>
      </c>
      <c r="AI202" s="646"/>
      <c r="AJ202" s="646"/>
      <c r="AK202" s="989"/>
      <c r="AL202" s="913"/>
      <c r="AM202" s="913"/>
      <c r="AN202" s="913"/>
      <c r="AO202" s="913"/>
      <c r="AP202" s="913"/>
      <c r="AQ202" s="913"/>
      <c r="AR202" s="913"/>
      <c r="AS202" s="913"/>
    </row>
    <row r="203" spans="1:45" ht="24" x14ac:dyDescent="0.25">
      <c r="A203" s="1518"/>
      <c r="B203" s="1534" t="s">
        <v>285</v>
      </c>
      <c r="C203" s="1535" t="s">
        <v>720</v>
      </c>
      <c r="D203" s="26">
        <f t="shared" si="60"/>
        <v>2655</v>
      </c>
      <c r="E203" s="26"/>
      <c r="F203" s="26"/>
      <c r="G203" s="26">
        <f t="shared" si="73"/>
        <v>2655</v>
      </c>
      <c r="H203" s="26"/>
      <c r="I203" s="809"/>
      <c r="J203" s="809"/>
      <c r="K203" s="791"/>
      <c r="L203" s="791"/>
      <c r="M203" s="791"/>
      <c r="N203" s="791"/>
      <c r="O203" s="798"/>
      <c r="P203" s="814"/>
      <c r="Q203" s="799"/>
      <c r="R203" s="802"/>
      <c r="S203" s="791"/>
      <c r="T203" s="791"/>
      <c r="U203" s="799">
        <f t="shared" si="70"/>
        <v>1645</v>
      </c>
      <c r="V203" s="791"/>
      <c r="W203" s="791"/>
      <c r="X203" s="791">
        <v>1645</v>
      </c>
      <c r="Y203" s="799">
        <f t="shared" si="75"/>
        <v>0</v>
      </c>
      <c r="Z203" s="861"/>
      <c r="AA203" s="861"/>
      <c r="AB203" s="863"/>
      <c r="AC203" s="204">
        <f t="shared" si="74"/>
        <v>0</v>
      </c>
      <c r="AD203" s="624"/>
      <c r="AE203" s="624"/>
      <c r="AF203" s="624"/>
      <c r="AG203" s="624"/>
      <c r="AH203" s="204">
        <f t="shared" si="76"/>
        <v>1010</v>
      </c>
      <c r="AI203" s="646"/>
      <c r="AJ203" s="646"/>
      <c r="AK203" s="989">
        <f>1130-120</f>
        <v>1010</v>
      </c>
      <c r="AL203" s="913"/>
      <c r="AM203" s="913"/>
      <c r="AN203" s="913"/>
      <c r="AO203" s="913"/>
      <c r="AP203" s="913"/>
      <c r="AQ203" s="913"/>
      <c r="AR203" s="913"/>
      <c r="AS203" s="913"/>
    </row>
    <row r="204" spans="1:45" ht="24" x14ac:dyDescent="0.25">
      <c r="A204" s="232"/>
      <c r="B204" s="756" t="s">
        <v>635</v>
      </c>
      <c r="C204" s="921" t="s">
        <v>636</v>
      </c>
      <c r="D204" s="26">
        <f t="shared" si="60"/>
        <v>65</v>
      </c>
      <c r="E204" s="26"/>
      <c r="F204" s="26"/>
      <c r="G204" s="26">
        <f t="shared" si="73"/>
        <v>65</v>
      </c>
      <c r="H204" s="26"/>
      <c r="I204" s="809"/>
      <c r="J204" s="809"/>
      <c r="K204" s="791"/>
      <c r="L204" s="791"/>
      <c r="M204" s="791"/>
      <c r="N204" s="791"/>
      <c r="O204" s="798"/>
      <c r="P204" s="814"/>
      <c r="Q204" s="799"/>
      <c r="R204" s="802"/>
      <c r="S204" s="791"/>
      <c r="T204" s="791"/>
      <c r="U204" s="799">
        <f t="shared" si="70"/>
        <v>65</v>
      </c>
      <c r="V204" s="791"/>
      <c r="W204" s="791"/>
      <c r="X204" s="791">
        <v>65</v>
      </c>
      <c r="Y204" s="799">
        <f t="shared" si="75"/>
        <v>0</v>
      </c>
      <c r="Z204" s="861"/>
      <c r="AA204" s="861"/>
      <c r="AB204" s="863"/>
      <c r="AC204" s="204">
        <f t="shared" si="74"/>
        <v>0</v>
      </c>
      <c r="AD204" s="624"/>
      <c r="AE204" s="624"/>
      <c r="AF204" s="624"/>
      <c r="AG204" s="624"/>
      <c r="AH204" s="204">
        <f t="shared" si="76"/>
        <v>0</v>
      </c>
      <c r="AI204" s="646"/>
      <c r="AJ204" s="646"/>
      <c r="AK204" s="989"/>
      <c r="AL204" s="913"/>
      <c r="AM204" s="913"/>
      <c r="AN204" s="913"/>
      <c r="AO204" s="913"/>
      <c r="AP204" s="913"/>
      <c r="AQ204" s="913"/>
      <c r="AR204" s="913"/>
      <c r="AS204" s="913"/>
    </row>
    <row r="205" spans="1:45" ht="48.75" x14ac:dyDescent="0.25">
      <c r="A205" s="232"/>
      <c r="B205" s="71" t="s">
        <v>547</v>
      </c>
      <c r="C205" s="71" t="s">
        <v>661</v>
      </c>
      <c r="D205" s="26">
        <f t="shared" si="60"/>
        <v>390</v>
      </c>
      <c r="E205" s="26"/>
      <c r="F205" s="26"/>
      <c r="G205" s="26">
        <f t="shared" si="73"/>
        <v>390</v>
      </c>
      <c r="H205" s="26"/>
      <c r="I205" s="809"/>
      <c r="J205" s="809"/>
      <c r="K205" s="791"/>
      <c r="L205" s="791"/>
      <c r="M205" s="791"/>
      <c r="N205" s="791"/>
      <c r="O205" s="798"/>
      <c r="P205" s="814"/>
      <c r="Q205" s="799"/>
      <c r="R205" s="802"/>
      <c r="S205" s="791"/>
      <c r="T205" s="791"/>
      <c r="U205" s="799"/>
      <c r="V205" s="791"/>
      <c r="W205" s="791"/>
      <c r="X205" s="791"/>
      <c r="Y205" s="799">
        <f t="shared" si="75"/>
        <v>390</v>
      </c>
      <c r="Z205" s="861"/>
      <c r="AA205" s="861"/>
      <c r="AB205" s="863">
        <f>392.2-2.2</f>
        <v>390</v>
      </c>
      <c r="AC205" s="204">
        <f t="shared" si="74"/>
        <v>0</v>
      </c>
      <c r="AD205" s="624"/>
      <c r="AE205" s="624"/>
      <c r="AF205" s="624"/>
      <c r="AG205" s="624"/>
      <c r="AH205" s="204">
        <f t="shared" si="76"/>
        <v>0</v>
      </c>
      <c r="AI205" s="646"/>
      <c r="AJ205" s="646"/>
      <c r="AK205" s="989"/>
      <c r="AL205" s="913"/>
      <c r="AM205" s="913"/>
      <c r="AN205" s="913"/>
      <c r="AO205" s="913"/>
      <c r="AP205" s="913"/>
      <c r="AQ205" s="913"/>
      <c r="AR205" s="913"/>
      <c r="AS205" s="913"/>
    </row>
    <row r="206" spans="1:45" ht="24.75" x14ac:dyDescent="0.25">
      <c r="A206" s="143"/>
      <c r="B206" s="922" t="s">
        <v>579</v>
      </c>
      <c r="C206" s="922" t="s">
        <v>699</v>
      </c>
      <c r="D206" s="26">
        <f t="shared" si="60"/>
        <v>541.77090999999996</v>
      </c>
      <c r="E206" s="26"/>
      <c r="F206" s="26"/>
      <c r="G206" s="26">
        <f t="shared" si="73"/>
        <v>541.77090999999996</v>
      </c>
      <c r="H206" s="26"/>
      <c r="I206" s="809"/>
      <c r="J206" s="809"/>
      <c r="K206" s="791"/>
      <c r="L206" s="791"/>
      <c r="M206" s="791"/>
      <c r="N206" s="791"/>
      <c r="O206" s="798"/>
      <c r="P206" s="814"/>
      <c r="Q206" s="799"/>
      <c r="R206" s="802"/>
      <c r="S206" s="791"/>
      <c r="T206" s="791"/>
      <c r="U206" s="799"/>
      <c r="V206" s="791"/>
      <c r="W206" s="791"/>
      <c r="X206" s="791"/>
      <c r="Y206" s="799">
        <f t="shared" si="75"/>
        <v>434.1</v>
      </c>
      <c r="Z206" s="861"/>
      <c r="AA206" s="861"/>
      <c r="AB206" s="863">
        <v>434.1</v>
      </c>
      <c r="AC206" s="204">
        <f t="shared" si="74"/>
        <v>630.9672700000001</v>
      </c>
      <c r="AD206" s="204"/>
      <c r="AE206" s="204">
        <f>525.926-2.62964</f>
        <v>523.29636000000005</v>
      </c>
      <c r="AF206" s="204">
        <f>107.8664-0.19549</f>
        <v>107.67090999999999</v>
      </c>
      <c r="AG206" s="624"/>
      <c r="AH206" s="204">
        <f t="shared" si="76"/>
        <v>0</v>
      </c>
      <c r="AI206" s="646"/>
      <c r="AJ206" s="646"/>
      <c r="AK206" s="989"/>
      <c r="AL206" s="913"/>
      <c r="AM206" s="913"/>
      <c r="AN206" s="913"/>
      <c r="AO206" s="913"/>
      <c r="AP206" s="913"/>
      <c r="AQ206" s="913"/>
      <c r="AR206" s="913"/>
      <c r="AS206" s="913"/>
    </row>
    <row r="207" spans="1:45" ht="24.75" x14ac:dyDescent="0.25">
      <c r="A207" s="143"/>
      <c r="B207" s="922" t="s">
        <v>751</v>
      </c>
      <c r="C207" s="1083" t="s">
        <v>97</v>
      </c>
      <c r="D207" s="26">
        <f t="shared" si="60"/>
        <v>0</v>
      </c>
      <c r="E207" s="26"/>
      <c r="F207" s="26"/>
      <c r="G207" s="26">
        <f t="shared" si="73"/>
        <v>0</v>
      </c>
      <c r="H207" s="26"/>
      <c r="I207" s="809"/>
      <c r="J207" s="809"/>
      <c r="K207" s="791"/>
      <c r="L207" s="791"/>
      <c r="M207" s="791"/>
      <c r="N207" s="791"/>
      <c r="O207" s="798"/>
      <c r="P207" s="814"/>
      <c r="Q207" s="799"/>
      <c r="R207" s="802"/>
      <c r="S207" s="791"/>
      <c r="T207" s="791"/>
      <c r="U207" s="799"/>
      <c r="V207" s="791"/>
      <c r="W207" s="791"/>
      <c r="X207" s="791"/>
      <c r="Y207" s="799"/>
      <c r="Z207" s="861"/>
      <c r="AA207" s="861"/>
      <c r="AB207" s="863"/>
      <c r="AC207" s="204"/>
      <c r="AD207" s="204"/>
      <c r="AE207" s="204"/>
      <c r="AF207" s="204"/>
      <c r="AG207" s="624"/>
      <c r="AH207" s="204">
        <f t="shared" si="76"/>
        <v>0</v>
      </c>
      <c r="AI207" s="991"/>
      <c r="AJ207" s="991"/>
      <c r="AK207" s="989"/>
      <c r="AL207" s="1030"/>
      <c r="AM207" s="1030"/>
      <c r="AN207" s="1030"/>
      <c r="AO207" s="1030"/>
      <c r="AP207" s="1030"/>
      <c r="AQ207" s="913"/>
      <c r="AR207" s="913"/>
      <c r="AS207" s="913"/>
    </row>
    <row r="208" spans="1:45" ht="26.25" x14ac:dyDescent="0.25">
      <c r="A208" s="1518"/>
      <c r="B208" s="551" t="s">
        <v>762</v>
      </c>
      <c r="C208" s="68" t="s">
        <v>70</v>
      </c>
      <c r="D208" s="26"/>
      <c r="E208" s="26"/>
      <c r="F208" s="26"/>
      <c r="G208" s="26"/>
      <c r="H208" s="26"/>
      <c r="I208" s="809"/>
      <c r="J208" s="809"/>
      <c r="K208" s="791"/>
      <c r="L208" s="791"/>
      <c r="M208" s="791"/>
      <c r="N208" s="791"/>
      <c r="O208" s="798"/>
      <c r="P208" s="814"/>
      <c r="Q208" s="799"/>
      <c r="R208" s="802"/>
      <c r="S208" s="791"/>
      <c r="T208" s="791"/>
      <c r="U208" s="799"/>
      <c r="V208" s="791"/>
      <c r="W208" s="791"/>
      <c r="X208" s="791"/>
      <c r="Y208" s="799"/>
      <c r="Z208" s="861"/>
      <c r="AA208" s="861"/>
      <c r="AB208" s="863"/>
      <c r="AC208" s="204"/>
      <c r="AD208" s="204"/>
      <c r="AE208" s="204"/>
      <c r="AF208" s="204"/>
      <c r="AG208" s="624"/>
      <c r="AH208" s="204">
        <f t="shared" si="76"/>
        <v>695.69999999999993</v>
      </c>
      <c r="AI208" s="991"/>
      <c r="AJ208" s="646">
        <v>660.9</v>
      </c>
      <c r="AK208" s="989">
        <v>34.799999999999997</v>
      </c>
      <c r="AL208" s="1030"/>
      <c r="AM208" s="1030"/>
      <c r="AN208" s="1030"/>
      <c r="AO208" s="1030"/>
      <c r="AP208" s="1030"/>
      <c r="AQ208" s="913"/>
      <c r="AR208" s="913"/>
      <c r="AS208" s="913"/>
    </row>
    <row r="209" spans="1:45" ht="26.25" x14ac:dyDescent="0.25">
      <c r="A209" s="1518"/>
      <c r="B209" s="551" t="s">
        <v>763</v>
      </c>
      <c r="C209" s="68" t="s">
        <v>70</v>
      </c>
      <c r="D209" s="26"/>
      <c r="E209" s="26"/>
      <c r="F209" s="26"/>
      <c r="G209" s="26"/>
      <c r="H209" s="26"/>
      <c r="I209" s="809"/>
      <c r="J209" s="809"/>
      <c r="K209" s="791"/>
      <c r="L209" s="791"/>
      <c r="M209" s="791"/>
      <c r="N209" s="791"/>
      <c r="O209" s="798"/>
      <c r="P209" s="814"/>
      <c r="Q209" s="799"/>
      <c r="R209" s="802"/>
      <c r="S209" s="791"/>
      <c r="T209" s="791"/>
      <c r="U209" s="799"/>
      <c r="V209" s="791"/>
      <c r="W209" s="791"/>
      <c r="X209" s="791"/>
      <c r="Y209" s="799"/>
      <c r="Z209" s="861"/>
      <c r="AA209" s="861"/>
      <c r="AB209" s="863"/>
      <c r="AC209" s="204"/>
      <c r="AD209" s="204"/>
      <c r="AE209" s="204"/>
      <c r="AF209" s="204"/>
      <c r="AG209" s="624"/>
      <c r="AH209" s="204">
        <f t="shared" si="76"/>
        <v>279</v>
      </c>
      <c r="AI209" s="991"/>
      <c r="AJ209" s="991">
        <v>265</v>
      </c>
      <c r="AK209" s="989">
        <v>14</v>
      </c>
      <c r="AL209" s="1030"/>
      <c r="AM209" s="1030"/>
      <c r="AN209" s="1030"/>
      <c r="AO209" s="1030"/>
      <c r="AP209" s="1030"/>
      <c r="AQ209" s="913"/>
      <c r="AR209" s="913"/>
      <c r="AS209" s="913"/>
    </row>
    <row r="210" spans="1:45" ht="26.25" x14ac:dyDescent="0.25">
      <c r="A210" s="1518"/>
      <c r="B210" s="551" t="s">
        <v>764</v>
      </c>
      <c r="C210" s="68" t="s">
        <v>70</v>
      </c>
      <c r="D210" s="26"/>
      <c r="E210" s="26"/>
      <c r="F210" s="26"/>
      <c r="G210" s="26"/>
      <c r="H210" s="26"/>
      <c r="I210" s="809"/>
      <c r="J210" s="809"/>
      <c r="K210" s="791"/>
      <c r="L210" s="791"/>
      <c r="M210" s="791"/>
      <c r="N210" s="791"/>
      <c r="O210" s="798"/>
      <c r="P210" s="814"/>
      <c r="Q210" s="799"/>
      <c r="R210" s="802"/>
      <c r="S210" s="791"/>
      <c r="T210" s="791"/>
      <c r="U210" s="799"/>
      <c r="V210" s="791"/>
      <c r="W210" s="791"/>
      <c r="X210" s="791"/>
      <c r="Y210" s="799"/>
      <c r="Z210" s="861"/>
      <c r="AA210" s="861"/>
      <c r="AB210" s="863"/>
      <c r="AC210" s="204"/>
      <c r="AD210" s="204"/>
      <c r="AE210" s="204"/>
      <c r="AF210" s="204"/>
      <c r="AG210" s="624"/>
      <c r="AH210" s="204">
        <f t="shared" si="76"/>
        <v>493.3</v>
      </c>
      <c r="AI210" s="991"/>
      <c r="AJ210" s="991">
        <v>468.6</v>
      </c>
      <c r="AK210" s="989">
        <v>24.7</v>
      </c>
      <c r="AL210" s="1030"/>
      <c r="AM210" s="1030"/>
      <c r="AN210" s="1030"/>
      <c r="AO210" s="1030"/>
      <c r="AP210" s="1030"/>
      <c r="AQ210" s="913"/>
      <c r="AR210" s="913"/>
      <c r="AS210" s="913"/>
    </row>
    <row r="211" spans="1:45" ht="26.25" x14ac:dyDescent="0.25">
      <c r="A211" s="1518"/>
      <c r="B211" s="551" t="s">
        <v>765</v>
      </c>
      <c r="C211" s="68" t="s">
        <v>70</v>
      </c>
      <c r="D211" s="26"/>
      <c r="E211" s="26"/>
      <c r="F211" s="26"/>
      <c r="G211" s="26"/>
      <c r="H211" s="26"/>
      <c r="I211" s="809"/>
      <c r="J211" s="809"/>
      <c r="K211" s="791"/>
      <c r="L211" s="791"/>
      <c r="M211" s="791"/>
      <c r="N211" s="791"/>
      <c r="O211" s="798"/>
      <c r="P211" s="814"/>
      <c r="Q211" s="799"/>
      <c r="R211" s="802"/>
      <c r="S211" s="791"/>
      <c r="T211" s="791"/>
      <c r="U211" s="799"/>
      <c r="V211" s="791"/>
      <c r="W211" s="791"/>
      <c r="X211" s="791"/>
      <c r="Y211" s="799"/>
      <c r="Z211" s="861"/>
      <c r="AA211" s="861"/>
      <c r="AB211" s="863"/>
      <c r="AC211" s="204"/>
      <c r="AD211" s="204"/>
      <c r="AE211" s="204"/>
      <c r="AF211" s="204"/>
      <c r="AG211" s="624"/>
      <c r="AH211" s="204">
        <f t="shared" si="76"/>
        <v>988.6</v>
      </c>
      <c r="AI211" s="991"/>
      <c r="AJ211" s="991">
        <v>939.2</v>
      </c>
      <c r="AK211" s="989">
        <v>49.4</v>
      </c>
      <c r="AL211" s="1030"/>
      <c r="AM211" s="1030"/>
      <c r="AN211" s="1030"/>
      <c r="AO211" s="1030"/>
      <c r="AP211" s="1030"/>
      <c r="AQ211" s="913"/>
      <c r="AR211" s="913"/>
      <c r="AS211" s="913"/>
    </row>
    <row r="212" spans="1:45" ht="26.25" x14ac:dyDescent="0.25">
      <c r="A212" s="1518"/>
      <c r="B212" s="551" t="s">
        <v>766</v>
      </c>
      <c r="C212" s="68" t="s">
        <v>70</v>
      </c>
      <c r="D212" s="26"/>
      <c r="E212" s="26"/>
      <c r="F212" s="26"/>
      <c r="G212" s="26"/>
      <c r="H212" s="26"/>
      <c r="I212" s="809"/>
      <c r="J212" s="809"/>
      <c r="K212" s="791"/>
      <c r="L212" s="791"/>
      <c r="M212" s="791"/>
      <c r="N212" s="791"/>
      <c r="O212" s="798"/>
      <c r="P212" s="814"/>
      <c r="Q212" s="799"/>
      <c r="R212" s="802"/>
      <c r="S212" s="791"/>
      <c r="T212" s="791"/>
      <c r="U212" s="799"/>
      <c r="V212" s="791"/>
      <c r="W212" s="791"/>
      <c r="X212" s="791"/>
      <c r="Y212" s="799"/>
      <c r="Z212" s="861"/>
      <c r="AA212" s="861"/>
      <c r="AB212" s="863"/>
      <c r="AC212" s="204"/>
      <c r="AD212" s="204"/>
      <c r="AE212" s="204"/>
      <c r="AF212" s="204"/>
      <c r="AG212" s="624"/>
      <c r="AH212" s="204">
        <f t="shared" si="76"/>
        <v>928</v>
      </c>
      <c r="AI212" s="991"/>
      <c r="AJ212" s="991">
        <v>881.6</v>
      </c>
      <c r="AK212" s="989">
        <v>46.4</v>
      </c>
      <c r="AL212" s="1030"/>
      <c r="AM212" s="1030"/>
      <c r="AN212" s="1030"/>
      <c r="AO212" s="1030"/>
      <c r="AP212" s="1030"/>
      <c r="AQ212" s="913"/>
      <c r="AR212" s="913"/>
      <c r="AS212" s="913"/>
    </row>
    <row r="213" spans="1:45" ht="24.75" x14ac:dyDescent="0.25">
      <c r="A213" s="1518"/>
      <c r="B213" s="551" t="s">
        <v>807</v>
      </c>
      <c r="C213" s="68" t="s">
        <v>70</v>
      </c>
      <c r="D213" s="26"/>
      <c r="E213" s="26"/>
      <c r="F213" s="26"/>
      <c r="G213" s="26"/>
      <c r="H213" s="26"/>
      <c r="I213" s="809"/>
      <c r="J213" s="809"/>
      <c r="K213" s="791"/>
      <c r="L213" s="791"/>
      <c r="M213" s="791"/>
      <c r="N213" s="791"/>
      <c r="O213" s="798"/>
      <c r="P213" s="814"/>
      <c r="Q213" s="799"/>
      <c r="R213" s="802"/>
      <c r="S213" s="791"/>
      <c r="T213" s="791"/>
      <c r="U213" s="799"/>
      <c r="V213" s="791"/>
      <c r="W213" s="791"/>
      <c r="X213" s="791"/>
      <c r="Y213" s="799"/>
      <c r="Z213" s="861"/>
      <c r="AA213" s="861"/>
      <c r="AB213" s="863"/>
      <c r="AC213" s="204"/>
      <c r="AD213" s="204"/>
      <c r="AE213" s="204"/>
      <c r="AF213" s="204"/>
      <c r="AG213" s="624"/>
      <c r="AH213" s="204">
        <f t="shared" si="76"/>
        <v>654.5</v>
      </c>
      <c r="AI213" s="991"/>
      <c r="AJ213" s="991">
        <v>621.79999999999995</v>
      </c>
      <c r="AK213" s="989">
        <v>32.700000000000003</v>
      </c>
      <c r="AL213" s="1030"/>
      <c r="AM213" s="1030"/>
      <c r="AN213" s="1030"/>
      <c r="AO213" s="1030"/>
      <c r="AP213" s="1030"/>
      <c r="AQ213" s="913"/>
      <c r="AR213" s="913"/>
      <c r="AS213" s="913"/>
    </row>
    <row r="214" spans="1:45" ht="26.25" x14ac:dyDescent="0.25">
      <c r="A214" s="1518"/>
      <c r="B214" s="551" t="s">
        <v>767</v>
      </c>
      <c r="C214" s="68" t="s">
        <v>32</v>
      </c>
      <c r="D214" s="26"/>
      <c r="E214" s="26"/>
      <c r="F214" s="26"/>
      <c r="G214" s="26"/>
      <c r="H214" s="26"/>
      <c r="I214" s="809"/>
      <c r="J214" s="809"/>
      <c r="K214" s="791"/>
      <c r="L214" s="791"/>
      <c r="M214" s="791"/>
      <c r="N214" s="791"/>
      <c r="O214" s="798"/>
      <c r="P214" s="814"/>
      <c r="Q214" s="799"/>
      <c r="R214" s="802"/>
      <c r="S214" s="791"/>
      <c r="T214" s="791"/>
      <c r="U214" s="799"/>
      <c r="V214" s="791"/>
      <c r="W214" s="791"/>
      <c r="X214" s="791"/>
      <c r="Y214" s="799"/>
      <c r="Z214" s="861"/>
      <c r="AA214" s="861"/>
      <c r="AB214" s="863"/>
      <c r="AC214" s="204"/>
      <c r="AD214" s="204"/>
      <c r="AE214" s="204"/>
      <c r="AF214" s="204"/>
      <c r="AG214" s="624"/>
      <c r="AH214" s="204">
        <f t="shared" si="76"/>
        <v>509.3</v>
      </c>
      <c r="AI214" s="991"/>
      <c r="AJ214" s="991">
        <v>483.8</v>
      </c>
      <c r="AK214" s="989">
        <v>25.5</v>
      </c>
      <c r="AL214" s="1030"/>
      <c r="AM214" s="1030"/>
      <c r="AN214" s="1030"/>
      <c r="AO214" s="1030"/>
      <c r="AP214" s="1030"/>
      <c r="AQ214" s="913"/>
      <c r="AR214" s="913"/>
      <c r="AS214" s="913"/>
    </row>
    <row r="215" spans="1:45" ht="30" x14ac:dyDescent="0.25">
      <c r="A215" s="1518"/>
      <c r="B215" s="1519" t="s">
        <v>768</v>
      </c>
      <c r="C215" s="68" t="s">
        <v>32</v>
      </c>
      <c r="D215" s="26"/>
      <c r="E215" s="26"/>
      <c r="F215" s="26"/>
      <c r="G215" s="26"/>
      <c r="H215" s="26"/>
      <c r="I215" s="809"/>
      <c r="J215" s="809"/>
      <c r="K215" s="791"/>
      <c r="L215" s="791"/>
      <c r="M215" s="791"/>
      <c r="N215" s="791"/>
      <c r="O215" s="798"/>
      <c r="P215" s="814"/>
      <c r="Q215" s="799"/>
      <c r="R215" s="802"/>
      <c r="S215" s="791"/>
      <c r="T215" s="791"/>
      <c r="U215" s="799"/>
      <c r="V215" s="791"/>
      <c r="W215" s="791"/>
      <c r="X215" s="791"/>
      <c r="Y215" s="799"/>
      <c r="Z215" s="861"/>
      <c r="AA215" s="861"/>
      <c r="AB215" s="863"/>
      <c r="AC215" s="204"/>
      <c r="AD215" s="204"/>
      <c r="AE215" s="204"/>
      <c r="AF215" s="204"/>
      <c r="AG215" s="624"/>
      <c r="AH215" s="204">
        <f t="shared" si="76"/>
        <v>546.59999999999991</v>
      </c>
      <c r="AI215" s="991"/>
      <c r="AJ215" s="991">
        <v>519.29999999999995</v>
      </c>
      <c r="AK215" s="989">
        <v>27.3</v>
      </c>
      <c r="AL215" s="1030"/>
      <c r="AM215" s="1030"/>
      <c r="AN215" s="1030"/>
      <c r="AO215" s="1030"/>
      <c r="AP215" s="1030"/>
      <c r="AQ215" s="913"/>
      <c r="AR215" s="913"/>
      <c r="AS215" s="913"/>
    </row>
    <row r="216" spans="1:45" ht="24.75" x14ac:dyDescent="0.25">
      <c r="A216" s="1518"/>
      <c r="B216" s="1519" t="s">
        <v>786</v>
      </c>
      <c r="C216" s="68" t="s">
        <v>787</v>
      </c>
      <c r="D216" s="26"/>
      <c r="E216" s="26"/>
      <c r="F216" s="26"/>
      <c r="G216" s="26"/>
      <c r="H216" s="26"/>
      <c r="I216" s="809"/>
      <c r="J216" s="809"/>
      <c r="K216" s="791"/>
      <c r="L216" s="791"/>
      <c r="M216" s="791"/>
      <c r="N216" s="791"/>
      <c r="O216" s="798"/>
      <c r="P216" s="814"/>
      <c r="Q216" s="799"/>
      <c r="R216" s="802"/>
      <c r="S216" s="791"/>
      <c r="T216" s="791"/>
      <c r="U216" s="799"/>
      <c r="V216" s="791"/>
      <c r="W216" s="791"/>
      <c r="X216" s="791"/>
      <c r="Y216" s="799"/>
      <c r="Z216" s="861"/>
      <c r="AA216" s="861"/>
      <c r="AB216" s="863"/>
      <c r="AC216" s="204"/>
      <c r="AD216" s="204"/>
      <c r="AE216" s="204"/>
      <c r="AF216" s="204"/>
      <c r="AG216" s="624"/>
      <c r="AH216" s="204">
        <f t="shared" si="76"/>
        <v>449.6</v>
      </c>
      <c r="AI216" s="991"/>
      <c r="AJ216" s="1479">
        <v>237.1</v>
      </c>
      <c r="AK216" s="1479">
        <v>212.5</v>
      </c>
      <c r="AL216" s="1030"/>
      <c r="AM216" s="1030"/>
      <c r="AN216" s="1030"/>
      <c r="AO216" s="1030"/>
      <c r="AP216" s="1030"/>
      <c r="AQ216" s="913"/>
      <c r="AR216" s="913"/>
      <c r="AS216" s="913"/>
    </row>
    <row r="217" spans="1:45" ht="26.25" x14ac:dyDescent="0.25">
      <c r="A217" s="1518"/>
      <c r="B217" s="551" t="s">
        <v>769</v>
      </c>
      <c r="C217" s="68" t="s">
        <v>37</v>
      </c>
      <c r="D217" s="26"/>
      <c r="E217" s="26"/>
      <c r="F217" s="26"/>
      <c r="G217" s="26"/>
      <c r="H217" s="26"/>
      <c r="I217" s="809"/>
      <c r="J217" s="809"/>
      <c r="K217" s="791"/>
      <c r="L217" s="791"/>
      <c r="M217" s="791"/>
      <c r="N217" s="791"/>
      <c r="O217" s="798"/>
      <c r="P217" s="814"/>
      <c r="Q217" s="799"/>
      <c r="R217" s="802"/>
      <c r="S217" s="791"/>
      <c r="T217" s="791"/>
      <c r="U217" s="799"/>
      <c r="V217" s="791"/>
      <c r="W217" s="791"/>
      <c r="X217" s="791"/>
      <c r="Y217" s="799"/>
      <c r="Z217" s="861"/>
      <c r="AA217" s="861"/>
      <c r="AB217" s="863"/>
      <c r="AC217" s="204"/>
      <c r="AD217" s="204"/>
      <c r="AE217" s="204"/>
      <c r="AF217" s="204"/>
      <c r="AG217" s="624"/>
      <c r="AH217" s="204">
        <f t="shared" si="76"/>
        <v>682.30000000000007</v>
      </c>
      <c r="AI217" s="991"/>
      <c r="AJ217" s="1479">
        <v>648.20000000000005</v>
      </c>
      <c r="AK217" s="1479">
        <v>34.1</v>
      </c>
      <c r="AL217" s="1030"/>
      <c r="AM217" s="1030"/>
      <c r="AN217" s="1030"/>
      <c r="AO217" s="1030"/>
      <c r="AP217" s="1030"/>
      <c r="AQ217" s="913"/>
      <c r="AR217" s="913"/>
      <c r="AS217" s="913"/>
    </row>
    <row r="218" spans="1:45" ht="39" x14ac:dyDescent="0.25">
      <c r="A218" s="1518"/>
      <c r="B218" s="551" t="s">
        <v>770</v>
      </c>
      <c r="C218" s="68" t="s">
        <v>97</v>
      </c>
      <c r="D218" s="26"/>
      <c r="E218" s="26"/>
      <c r="F218" s="26"/>
      <c r="G218" s="26"/>
      <c r="H218" s="26"/>
      <c r="I218" s="809"/>
      <c r="J218" s="809"/>
      <c r="K218" s="791"/>
      <c r="L218" s="791"/>
      <c r="M218" s="791"/>
      <c r="N218" s="791"/>
      <c r="O218" s="798"/>
      <c r="P218" s="814"/>
      <c r="Q218" s="799"/>
      <c r="R218" s="802"/>
      <c r="S218" s="791"/>
      <c r="T218" s="791"/>
      <c r="U218" s="799"/>
      <c r="V218" s="791"/>
      <c r="W218" s="791"/>
      <c r="X218" s="791"/>
      <c r="Y218" s="799"/>
      <c r="Z218" s="861"/>
      <c r="AA218" s="861"/>
      <c r="AB218" s="863"/>
      <c r="AC218" s="204"/>
      <c r="AD218" s="204"/>
      <c r="AE218" s="204"/>
      <c r="AF218" s="204"/>
      <c r="AG218" s="624"/>
      <c r="AH218" s="204">
        <f t="shared" si="76"/>
        <v>6223.4</v>
      </c>
      <c r="AI218" s="991"/>
      <c r="AJ218" s="1479">
        <v>5912.2</v>
      </c>
      <c r="AK218" s="1479">
        <v>311.2</v>
      </c>
      <c r="AL218" s="1030"/>
      <c r="AM218" s="1030"/>
      <c r="AN218" s="1030"/>
      <c r="AO218" s="1030"/>
      <c r="AP218" s="1030"/>
      <c r="AQ218" s="913"/>
      <c r="AR218" s="913"/>
      <c r="AS218" s="913"/>
    </row>
    <row r="219" spans="1:45" ht="26.25" x14ac:dyDescent="0.25">
      <c r="A219" s="1518"/>
      <c r="B219" s="551" t="s">
        <v>771</v>
      </c>
      <c r="C219" s="68" t="s">
        <v>25</v>
      </c>
      <c r="D219" s="26"/>
      <c r="E219" s="26"/>
      <c r="F219" s="26"/>
      <c r="G219" s="26"/>
      <c r="H219" s="26"/>
      <c r="I219" s="809"/>
      <c r="J219" s="809"/>
      <c r="K219" s="791"/>
      <c r="L219" s="791"/>
      <c r="M219" s="791"/>
      <c r="N219" s="791"/>
      <c r="O219" s="798"/>
      <c r="P219" s="814"/>
      <c r="Q219" s="799"/>
      <c r="R219" s="802"/>
      <c r="S219" s="791"/>
      <c r="T219" s="791"/>
      <c r="U219" s="799"/>
      <c r="V219" s="791"/>
      <c r="W219" s="791"/>
      <c r="X219" s="791"/>
      <c r="Y219" s="799"/>
      <c r="Z219" s="861"/>
      <c r="AA219" s="861"/>
      <c r="AB219" s="863"/>
      <c r="AC219" s="204"/>
      <c r="AD219" s="204"/>
      <c r="AE219" s="204"/>
      <c r="AF219" s="204"/>
      <c r="AG219" s="624"/>
      <c r="AH219" s="204">
        <f t="shared" si="76"/>
        <v>1465.1</v>
      </c>
      <c r="AI219" s="991"/>
      <c r="AJ219" s="1479">
        <v>1391.8</v>
      </c>
      <c r="AK219" s="1479">
        <v>73.3</v>
      </c>
      <c r="AL219" s="1030"/>
      <c r="AM219" s="1030"/>
      <c r="AN219" s="1030"/>
      <c r="AO219" s="1030"/>
      <c r="AP219" s="1030"/>
      <c r="AQ219" s="913"/>
      <c r="AR219" s="913"/>
      <c r="AS219" s="913"/>
    </row>
    <row r="220" spans="1:45" ht="26.25" x14ac:dyDescent="0.25">
      <c r="A220" s="1518"/>
      <c r="B220" s="551" t="s">
        <v>772</v>
      </c>
      <c r="C220" s="68" t="s">
        <v>25</v>
      </c>
      <c r="D220" s="26"/>
      <c r="E220" s="26"/>
      <c r="F220" s="26"/>
      <c r="G220" s="26"/>
      <c r="H220" s="26"/>
      <c r="I220" s="809"/>
      <c r="J220" s="809"/>
      <c r="K220" s="791"/>
      <c r="L220" s="791"/>
      <c r="M220" s="791"/>
      <c r="N220" s="791"/>
      <c r="O220" s="798"/>
      <c r="P220" s="814"/>
      <c r="Q220" s="799"/>
      <c r="R220" s="802"/>
      <c r="S220" s="791"/>
      <c r="T220" s="791"/>
      <c r="U220" s="799"/>
      <c r="V220" s="791"/>
      <c r="W220" s="791"/>
      <c r="X220" s="791"/>
      <c r="Y220" s="799"/>
      <c r="Z220" s="861"/>
      <c r="AA220" s="861"/>
      <c r="AB220" s="863"/>
      <c r="AC220" s="204"/>
      <c r="AD220" s="204"/>
      <c r="AE220" s="204"/>
      <c r="AF220" s="204"/>
      <c r="AG220" s="624"/>
      <c r="AH220" s="204">
        <f t="shared" si="76"/>
        <v>1950</v>
      </c>
      <c r="AI220" s="991"/>
      <c r="AJ220" s="1479">
        <v>1852.5</v>
      </c>
      <c r="AK220" s="1479">
        <v>97.5</v>
      </c>
      <c r="AL220" s="1030"/>
      <c r="AM220" s="1030"/>
      <c r="AN220" s="1030"/>
      <c r="AO220" s="1030"/>
      <c r="AP220" s="1030"/>
      <c r="AQ220" s="913"/>
      <c r="AR220" s="913"/>
      <c r="AS220" s="913"/>
    </row>
    <row r="221" spans="1:45" ht="26.25" x14ac:dyDescent="0.25">
      <c r="A221" s="1518"/>
      <c r="B221" s="551" t="s">
        <v>773</v>
      </c>
      <c r="C221" s="68" t="s">
        <v>25</v>
      </c>
      <c r="D221" s="26"/>
      <c r="E221" s="26"/>
      <c r="F221" s="26"/>
      <c r="G221" s="26"/>
      <c r="H221" s="26"/>
      <c r="I221" s="809"/>
      <c r="J221" s="809"/>
      <c r="K221" s="791"/>
      <c r="L221" s="791"/>
      <c r="M221" s="791"/>
      <c r="N221" s="791"/>
      <c r="O221" s="798"/>
      <c r="P221" s="814"/>
      <c r="Q221" s="799"/>
      <c r="R221" s="802"/>
      <c r="S221" s="791"/>
      <c r="T221" s="791"/>
      <c r="U221" s="799"/>
      <c r="V221" s="791"/>
      <c r="W221" s="791"/>
      <c r="X221" s="791"/>
      <c r="Y221" s="799"/>
      <c r="Z221" s="861"/>
      <c r="AA221" s="861"/>
      <c r="AB221" s="863"/>
      <c r="AC221" s="204"/>
      <c r="AD221" s="204"/>
      <c r="AE221" s="204"/>
      <c r="AF221" s="204"/>
      <c r="AG221" s="624"/>
      <c r="AH221" s="204">
        <f t="shared" si="76"/>
        <v>172.1</v>
      </c>
      <c r="AI221" s="991"/>
      <c r="AJ221" s="1568">
        <v>163.5</v>
      </c>
      <c r="AK221" s="1480">
        <v>8.6</v>
      </c>
      <c r="AL221" s="1030"/>
      <c r="AM221" s="1030"/>
      <c r="AN221" s="1030"/>
      <c r="AO221" s="1030"/>
      <c r="AP221" s="1030"/>
      <c r="AQ221" s="913"/>
      <c r="AR221" s="913"/>
      <c r="AS221" s="913"/>
    </row>
    <row r="222" spans="1:45" ht="26.25" x14ac:dyDescent="0.25">
      <c r="A222" s="1518"/>
      <c r="B222" s="551" t="s">
        <v>805</v>
      </c>
      <c r="C222" s="68" t="s">
        <v>25</v>
      </c>
      <c r="D222" s="26"/>
      <c r="E222" s="26"/>
      <c r="F222" s="26"/>
      <c r="G222" s="26"/>
      <c r="H222" s="26"/>
      <c r="I222" s="809"/>
      <c r="J222" s="809"/>
      <c r="K222" s="791"/>
      <c r="L222" s="791"/>
      <c r="M222" s="791"/>
      <c r="N222" s="791"/>
      <c r="O222" s="798"/>
      <c r="P222" s="814"/>
      <c r="Q222" s="799"/>
      <c r="R222" s="802"/>
      <c r="S222" s="791"/>
      <c r="T222" s="791"/>
      <c r="U222" s="799"/>
      <c r="V222" s="791"/>
      <c r="W222" s="791"/>
      <c r="X222" s="791"/>
      <c r="Y222" s="799"/>
      <c r="Z222" s="861"/>
      <c r="AA222" s="861"/>
      <c r="AB222" s="863"/>
      <c r="AC222" s="204"/>
      <c r="AD222" s="204"/>
      <c r="AE222" s="204"/>
      <c r="AF222" s="204"/>
      <c r="AG222" s="624"/>
      <c r="AH222" s="204">
        <f t="shared" si="76"/>
        <v>232.6</v>
      </c>
      <c r="AI222" s="991"/>
      <c r="AJ222" s="1569">
        <v>221</v>
      </c>
      <c r="AK222" s="1570">
        <v>11.6</v>
      </c>
      <c r="AL222" s="1030"/>
      <c r="AM222" s="1030"/>
      <c r="AN222" s="1030"/>
      <c r="AO222" s="1030"/>
      <c r="AP222" s="1030"/>
      <c r="AQ222" s="913"/>
      <c r="AR222" s="913"/>
      <c r="AS222" s="913"/>
    </row>
    <row r="223" spans="1:45" ht="15.75" x14ac:dyDescent="0.25">
      <c r="A223" s="1518"/>
      <c r="B223" s="551" t="s">
        <v>806</v>
      </c>
      <c r="C223" s="74" t="s">
        <v>148</v>
      </c>
      <c r="D223" s="26"/>
      <c r="E223" s="26"/>
      <c r="F223" s="26"/>
      <c r="G223" s="26"/>
      <c r="H223" s="26"/>
      <c r="I223" s="809"/>
      <c r="J223" s="809"/>
      <c r="K223" s="791"/>
      <c r="L223" s="791"/>
      <c r="M223" s="791"/>
      <c r="N223" s="791"/>
      <c r="O223" s="798"/>
      <c r="P223" s="814"/>
      <c r="Q223" s="799"/>
      <c r="R223" s="802"/>
      <c r="S223" s="791"/>
      <c r="T223" s="791"/>
      <c r="U223" s="799"/>
      <c r="V223" s="791"/>
      <c r="W223" s="791"/>
      <c r="X223" s="791"/>
      <c r="Y223" s="799"/>
      <c r="Z223" s="861"/>
      <c r="AA223" s="861"/>
      <c r="AB223" s="863"/>
      <c r="AC223" s="204"/>
      <c r="AD223" s="204"/>
      <c r="AE223" s="204"/>
      <c r="AF223" s="204"/>
      <c r="AG223" s="624"/>
      <c r="AH223" s="204">
        <f t="shared" si="76"/>
        <v>2290.8000000000002</v>
      </c>
      <c r="AI223" s="991"/>
      <c r="AJ223" s="1569">
        <v>2176.3000000000002</v>
      </c>
      <c r="AK223" s="1570">
        <v>114.5</v>
      </c>
      <c r="AL223" s="1030"/>
      <c r="AM223" s="1030"/>
      <c r="AN223" s="1030"/>
      <c r="AO223" s="1030"/>
      <c r="AP223" s="1030"/>
      <c r="AQ223" s="913"/>
      <c r="AR223" s="913"/>
      <c r="AS223" s="913"/>
    </row>
    <row r="224" spans="1:45" ht="24.75" x14ac:dyDescent="0.25">
      <c r="A224" s="1518"/>
      <c r="B224" s="68" t="s">
        <v>665</v>
      </c>
      <c r="C224" s="74" t="s">
        <v>667</v>
      </c>
      <c r="D224" s="26">
        <f t="shared" si="60"/>
        <v>206.97569999999999</v>
      </c>
      <c r="E224" s="26"/>
      <c r="F224" s="26"/>
      <c r="G224" s="26">
        <f>L224+P224+T224+X224+AB224+AF224+AK224+AO224+AS224</f>
        <v>206.97569999999999</v>
      </c>
      <c r="H224" s="26"/>
      <c r="I224" s="809"/>
      <c r="J224" s="809"/>
      <c r="K224" s="791"/>
      <c r="L224" s="791"/>
      <c r="M224" s="791"/>
      <c r="N224" s="791"/>
      <c r="O224" s="798"/>
      <c r="P224" s="814"/>
      <c r="Q224" s="799"/>
      <c r="R224" s="802"/>
      <c r="S224" s="791"/>
      <c r="T224" s="791"/>
      <c r="U224" s="799"/>
      <c r="V224" s="791"/>
      <c r="W224" s="791"/>
      <c r="X224" s="791"/>
      <c r="Y224" s="799">
        <f t="shared" si="75"/>
        <v>0</v>
      </c>
      <c r="Z224" s="861"/>
      <c r="AA224" s="861"/>
      <c r="AB224" s="863"/>
      <c r="AC224" s="204">
        <f t="shared" ref="AC224:AC237" si="77">AD224+AE224+AF224</f>
        <v>206.97569999999999</v>
      </c>
      <c r="AD224" s="204"/>
      <c r="AE224" s="204"/>
      <c r="AF224" s="204">
        <f>265.7-10-48.7243</f>
        <v>206.97569999999999</v>
      </c>
      <c r="AG224" s="624"/>
      <c r="AH224" s="204">
        <f t="shared" si="76"/>
        <v>0</v>
      </c>
      <c r="AI224" s="991"/>
      <c r="AJ224" s="991"/>
      <c r="AK224" s="989"/>
      <c r="AL224" s="1016"/>
      <c r="AM224" s="1016"/>
      <c r="AN224" s="1016"/>
      <c r="AO224" s="1016"/>
      <c r="AP224" s="1016"/>
      <c r="AQ224" s="468"/>
      <c r="AR224" s="468"/>
      <c r="AS224" s="468"/>
    </row>
    <row r="225" spans="1:45" ht="24.75" x14ac:dyDescent="0.25">
      <c r="A225" s="1518"/>
      <c r="B225" s="68" t="s">
        <v>666</v>
      </c>
      <c r="C225" s="74" t="s">
        <v>39</v>
      </c>
      <c r="D225" s="26">
        <f t="shared" si="60"/>
        <v>150.41</v>
      </c>
      <c r="E225" s="26"/>
      <c r="F225" s="26"/>
      <c r="G225" s="26">
        <f>L225+P225+T225+X225+AB225+AF225+AK225+AO225+AS225</f>
        <v>150.41</v>
      </c>
      <c r="H225" s="26"/>
      <c r="I225" s="809"/>
      <c r="J225" s="809"/>
      <c r="K225" s="791"/>
      <c r="L225" s="791"/>
      <c r="M225" s="791"/>
      <c r="N225" s="791"/>
      <c r="O225" s="798"/>
      <c r="P225" s="814"/>
      <c r="Q225" s="799"/>
      <c r="R225" s="802"/>
      <c r="S225" s="791"/>
      <c r="T225" s="791"/>
      <c r="U225" s="799"/>
      <c r="V225" s="791"/>
      <c r="W225" s="791"/>
      <c r="X225" s="791"/>
      <c r="Y225" s="799">
        <f t="shared" si="75"/>
        <v>0</v>
      </c>
      <c r="Z225" s="861"/>
      <c r="AA225" s="861"/>
      <c r="AB225" s="863"/>
      <c r="AC225" s="204">
        <f t="shared" si="77"/>
        <v>150.41</v>
      </c>
      <c r="AD225" s="204"/>
      <c r="AE225" s="204"/>
      <c r="AF225" s="204">
        <f>158.1-7.69</f>
        <v>150.41</v>
      </c>
      <c r="AG225" s="624"/>
      <c r="AH225" s="204">
        <f t="shared" si="76"/>
        <v>0</v>
      </c>
      <c r="AI225" s="991"/>
      <c r="AJ225" s="991"/>
      <c r="AK225" s="989"/>
      <c r="AL225" s="1016"/>
      <c r="AM225" s="1016"/>
      <c r="AN225" s="1016"/>
      <c r="AO225" s="1016"/>
      <c r="AP225" s="1016"/>
      <c r="AQ225" s="468"/>
      <c r="AR225" s="468"/>
      <c r="AS225" s="468"/>
    </row>
    <row r="226" spans="1:45" ht="24.75" x14ac:dyDescent="0.25">
      <c r="A226" s="1518"/>
      <c r="B226" s="68" t="s">
        <v>668</v>
      </c>
      <c r="C226" s="74" t="s">
        <v>669</v>
      </c>
      <c r="D226" s="26">
        <f t="shared" si="60"/>
        <v>0</v>
      </c>
      <c r="E226" s="26"/>
      <c r="F226" s="26"/>
      <c r="G226" s="26">
        <f>L226+P226+T226+X226+AB226+AF226+AK226+AO226+AS226</f>
        <v>0</v>
      </c>
      <c r="H226" s="26"/>
      <c r="I226" s="809"/>
      <c r="J226" s="809"/>
      <c r="K226" s="791"/>
      <c r="L226" s="791"/>
      <c r="M226" s="791"/>
      <c r="N226" s="791"/>
      <c r="O226" s="798"/>
      <c r="P226" s="814"/>
      <c r="Q226" s="799"/>
      <c r="R226" s="802"/>
      <c r="S226" s="791"/>
      <c r="T226" s="791"/>
      <c r="U226" s="799"/>
      <c r="V226" s="791"/>
      <c r="W226" s="791"/>
      <c r="X226" s="791"/>
      <c r="Y226" s="799">
        <f t="shared" si="75"/>
        <v>0</v>
      </c>
      <c r="Z226" s="861"/>
      <c r="AA226" s="861"/>
      <c r="AB226" s="863"/>
      <c r="AC226" s="204">
        <f t="shared" si="77"/>
        <v>0</v>
      </c>
      <c r="AD226" s="204"/>
      <c r="AE226" s="204"/>
      <c r="AF226" s="204">
        <f>1330-250-1080</f>
        <v>0</v>
      </c>
      <c r="AG226" s="624"/>
      <c r="AH226" s="204">
        <f>AI226+AJ226+AK226</f>
        <v>0</v>
      </c>
      <c r="AI226" s="991"/>
      <c r="AJ226" s="991"/>
      <c r="AK226" s="989">
        <f>1330-1330</f>
        <v>0</v>
      </c>
      <c r="AL226" s="1016">
        <f>AM226+AN226+AO226</f>
        <v>0</v>
      </c>
      <c r="AM226" s="468"/>
      <c r="AN226" s="468"/>
      <c r="AO226" s="468"/>
      <c r="AP226" s="1016">
        <f>AQ226+AR226+AS226</f>
        <v>0</v>
      </c>
      <c r="AQ226" s="468"/>
      <c r="AR226" s="468"/>
      <c r="AS226" s="468"/>
    </row>
    <row r="227" spans="1:45" ht="24.75" x14ac:dyDescent="0.25">
      <c r="A227" s="232"/>
      <c r="B227" s="71" t="s">
        <v>690</v>
      </c>
      <c r="C227" s="102" t="s">
        <v>581</v>
      </c>
      <c r="D227" s="26">
        <f t="shared" si="60"/>
        <v>137.1</v>
      </c>
      <c r="E227" s="26"/>
      <c r="F227" s="26"/>
      <c r="G227" s="26">
        <f>L227+P227+T227+X227+AB227+AF227+AK227+AO227+AS227</f>
        <v>137.1</v>
      </c>
      <c r="H227" s="26"/>
      <c r="I227" s="809"/>
      <c r="J227" s="809"/>
      <c r="K227" s="791"/>
      <c r="L227" s="791"/>
      <c r="M227" s="791"/>
      <c r="N227" s="791"/>
      <c r="O227" s="798"/>
      <c r="P227" s="814"/>
      <c r="Q227" s="799"/>
      <c r="R227" s="802"/>
      <c r="S227" s="791"/>
      <c r="T227" s="791"/>
      <c r="U227" s="799"/>
      <c r="V227" s="791"/>
      <c r="W227" s="791"/>
      <c r="X227" s="791"/>
      <c r="Y227" s="799">
        <f t="shared" si="75"/>
        <v>137.1</v>
      </c>
      <c r="Z227" s="861"/>
      <c r="AA227" s="861"/>
      <c r="AB227" s="863">
        <v>137.1</v>
      </c>
      <c r="AC227" s="204">
        <f t="shared" si="77"/>
        <v>0</v>
      </c>
      <c r="AD227" s="204"/>
      <c r="AE227" s="204"/>
      <c r="AF227" s="204"/>
      <c r="AG227" s="624"/>
      <c r="AH227" s="204">
        <f t="shared" ref="AH227:AH230" si="78">AI227+AJ227+AK227</f>
        <v>0</v>
      </c>
      <c r="AI227" s="991"/>
      <c r="AJ227" s="991"/>
      <c r="AK227" s="989"/>
      <c r="AL227" s="1016"/>
      <c r="AM227" s="468"/>
      <c r="AN227" s="468"/>
      <c r="AO227" s="468"/>
      <c r="AP227" s="1016"/>
      <c r="AQ227" s="468"/>
      <c r="AR227" s="468"/>
      <c r="AS227" s="468"/>
    </row>
    <row r="228" spans="1:45" ht="24.75" x14ac:dyDescent="0.25">
      <c r="A228" s="232"/>
      <c r="B228" s="71" t="s">
        <v>694</v>
      </c>
      <c r="C228" s="102" t="s">
        <v>17</v>
      </c>
      <c r="D228" s="26">
        <f t="shared" si="60"/>
        <v>96.054999999999993</v>
      </c>
      <c r="E228" s="26"/>
      <c r="F228" s="26"/>
      <c r="G228" s="26">
        <f>L228+P228+T228+X228+AB228+AF228+AK228+AO228+AS228</f>
        <v>96.054999999999993</v>
      </c>
      <c r="H228" s="26"/>
      <c r="I228" s="809"/>
      <c r="J228" s="809"/>
      <c r="K228" s="791"/>
      <c r="L228" s="791"/>
      <c r="M228" s="791"/>
      <c r="N228" s="791"/>
      <c r="O228" s="798"/>
      <c r="P228" s="814"/>
      <c r="Q228" s="799"/>
      <c r="R228" s="802"/>
      <c r="S228" s="791"/>
      <c r="T228" s="791"/>
      <c r="U228" s="799"/>
      <c r="V228" s="791"/>
      <c r="W228" s="791"/>
      <c r="X228" s="791"/>
      <c r="Y228" s="799"/>
      <c r="Z228" s="861"/>
      <c r="AA228" s="861"/>
      <c r="AB228" s="863"/>
      <c r="AC228" s="204">
        <f t="shared" si="77"/>
        <v>1921.0919999999999</v>
      </c>
      <c r="AD228" s="204"/>
      <c r="AE228" s="204">
        <f>2037.447-212.41</f>
        <v>1825.0369999999998</v>
      </c>
      <c r="AF228" s="204">
        <f>107.234-11.179</f>
        <v>96.054999999999993</v>
      </c>
      <c r="AG228" s="624"/>
      <c r="AH228" s="204">
        <f t="shared" si="78"/>
        <v>0</v>
      </c>
      <c r="AI228" s="991"/>
      <c r="AJ228" s="991"/>
      <c r="AK228" s="989"/>
      <c r="AL228" s="1016"/>
      <c r="AM228" s="468"/>
      <c r="AN228" s="468"/>
      <c r="AO228" s="468"/>
      <c r="AP228" s="1016"/>
      <c r="AQ228" s="468"/>
      <c r="AR228" s="468"/>
      <c r="AS228" s="468"/>
    </row>
    <row r="229" spans="1:45" ht="36.75" x14ac:dyDescent="0.25">
      <c r="A229" s="232"/>
      <c r="B229" s="1572" t="s">
        <v>808</v>
      </c>
      <c r="C229" s="102"/>
      <c r="D229" s="26"/>
      <c r="E229" s="26"/>
      <c r="F229" s="26"/>
      <c r="G229" s="26"/>
      <c r="H229" s="26"/>
      <c r="I229" s="809"/>
      <c r="J229" s="809"/>
      <c r="K229" s="791"/>
      <c r="L229" s="791"/>
      <c r="M229" s="791"/>
      <c r="N229" s="791"/>
      <c r="O229" s="798"/>
      <c r="P229" s="814"/>
      <c r="Q229" s="799"/>
      <c r="R229" s="802"/>
      <c r="S229" s="791"/>
      <c r="T229" s="791"/>
      <c r="U229" s="799"/>
      <c r="V229" s="791"/>
      <c r="W229" s="791"/>
      <c r="X229" s="791"/>
      <c r="Y229" s="799"/>
      <c r="Z229" s="861"/>
      <c r="AA229" s="861"/>
      <c r="AB229" s="863"/>
      <c r="AC229" s="204"/>
      <c r="AD229" s="204"/>
      <c r="AE229" s="204"/>
      <c r="AF229" s="204"/>
      <c r="AG229" s="624"/>
      <c r="AH229" s="204">
        <f t="shared" si="78"/>
        <v>100</v>
      </c>
      <c r="AI229" s="991"/>
      <c r="AJ229" s="991"/>
      <c r="AK229" s="989">
        <v>100</v>
      </c>
      <c r="AL229" s="1016"/>
      <c r="AM229" s="468"/>
      <c r="AN229" s="468"/>
      <c r="AO229" s="468"/>
      <c r="AP229" s="1016"/>
      <c r="AQ229" s="468"/>
      <c r="AR229" s="468"/>
      <c r="AS229" s="468"/>
    </row>
    <row r="230" spans="1:45" ht="24.75" x14ac:dyDescent="0.25">
      <c r="A230" s="232"/>
      <c r="B230" s="71" t="s">
        <v>796</v>
      </c>
      <c r="C230" s="102" t="s">
        <v>70</v>
      </c>
      <c r="D230" s="26"/>
      <c r="E230" s="26"/>
      <c r="F230" s="26"/>
      <c r="G230" s="26"/>
      <c r="H230" s="26"/>
      <c r="I230" s="809"/>
      <c r="J230" s="809"/>
      <c r="K230" s="791"/>
      <c r="L230" s="791"/>
      <c r="M230" s="791"/>
      <c r="N230" s="791"/>
      <c r="O230" s="798"/>
      <c r="P230" s="814"/>
      <c r="Q230" s="799"/>
      <c r="R230" s="802"/>
      <c r="S230" s="791"/>
      <c r="T230" s="791"/>
      <c r="U230" s="799"/>
      <c r="V230" s="791"/>
      <c r="W230" s="791"/>
      <c r="X230" s="791"/>
      <c r="Y230" s="799"/>
      <c r="Z230" s="861"/>
      <c r="AA230" s="861"/>
      <c r="AB230" s="863"/>
      <c r="AC230" s="204"/>
      <c r="AD230" s="204"/>
      <c r="AE230" s="204"/>
      <c r="AF230" s="204"/>
      <c r="AG230" s="624"/>
      <c r="AH230" s="204">
        <f t="shared" si="78"/>
        <v>6118.8</v>
      </c>
      <c r="AI230" s="991"/>
      <c r="AJ230" s="991"/>
      <c r="AK230" s="989">
        <v>6118.8</v>
      </c>
      <c r="AL230" s="1016"/>
      <c r="AM230" s="468"/>
      <c r="AN230" s="468"/>
      <c r="AO230" s="468"/>
      <c r="AP230" s="1016"/>
      <c r="AQ230" s="468"/>
      <c r="AR230" s="468"/>
      <c r="AS230" s="468"/>
    </row>
    <row r="231" spans="1:45" ht="63.75" x14ac:dyDescent="0.2">
      <c r="A231" s="312" t="s">
        <v>337</v>
      </c>
      <c r="B231" s="1031" t="s">
        <v>688</v>
      </c>
      <c r="C231" s="149"/>
      <c r="D231" s="205">
        <f t="shared" si="60"/>
        <v>3533.2181699999996</v>
      </c>
      <c r="E231" s="205">
        <f>E232</f>
        <v>0</v>
      </c>
      <c r="F231" s="205">
        <f>F232</f>
        <v>0</v>
      </c>
      <c r="G231" s="205">
        <f>G232</f>
        <v>3533.2181699999996</v>
      </c>
      <c r="H231" s="205"/>
      <c r="I231" s="809"/>
      <c r="J231" s="809"/>
      <c r="K231" s="791"/>
      <c r="L231" s="791"/>
      <c r="M231" s="791"/>
      <c r="N231" s="791"/>
      <c r="O231" s="798"/>
      <c r="P231" s="814"/>
      <c r="Q231" s="815">
        <f>R231+S231+T231</f>
        <v>935.5</v>
      </c>
      <c r="R231" s="800">
        <f>R232</f>
        <v>0</v>
      </c>
      <c r="S231" s="800">
        <f>S232</f>
        <v>0</v>
      </c>
      <c r="T231" s="800">
        <f>T232</f>
        <v>935.5</v>
      </c>
      <c r="U231" s="815">
        <f t="shared" ref="U231:U236" si="79">V231+W231+X231</f>
        <v>881.11305000000004</v>
      </c>
      <c r="V231" s="800">
        <f>V232</f>
        <v>0</v>
      </c>
      <c r="W231" s="800">
        <f>W232</f>
        <v>0</v>
      </c>
      <c r="X231" s="800">
        <f>X232</f>
        <v>881.11305000000004</v>
      </c>
      <c r="Y231" s="815">
        <f>Z231+AA231+AB231</f>
        <v>862.04512</v>
      </c>
      <c r="Z231" s="800">
        <f>Z232</f>
        <v>0</v>
      </c>
      <c r="AA231" s="800">
        <f>AA232</f>
        <v>0</v>
      </c>
      <c r="AB231" s="1205">
        <f>AB232</f>
        <v>862.04512</v>
      </c>
      <c r="AC231" s="230">
        <f t="shared" si="77"/>
        <v>854.56000000000006</v>
      </c>
      <c r="AD231" s="205">
        <f>AD232</f>
        <v>0</v>
      </c>
      <c r="AE231" s="205">
        <f>AE232</f>
        <v>0</v>
      </c>
      <c r="AF231" s="888">
        <f>AF232</f>
        <v>854.56000000000006</v>
      </c>
      <c r="AG231" s="888"/>
      <c r="AH231" s="829">
        <f t="shared" ref="AH231:AH238" si="80">AI231+AJ231+AK231</f>
        <v>0</v>
      </c>
      <c r="AI231" s="993">
        <f t="shared" ref="AI231:AS231" si="81">AI232</f>
        <v>0</v>
      </c>
      <c r="AJ231" s="993">
        <f t="shared" si="81"/>
        <v>0</v>
      </c>
      <c r="AK231" s="993">
        <f t="shared" si="81"/>
        <v>0</v>
      </c>
      <c r="AL231" s="993">
        <f t="shared" si="81"/>
        <v>0</v>
      </c>
      <c r="AM231" s="1138">
        <f t="shared" si="81"/>
        <v>0</v>
      </c>
      <c r="AN231" s="1138">
        <f t="shared" si="81"/>
        <v>0</v>
      </c>
      <c r="AO231" s="1138">
        <f t="shared" si="81"/>
        <v>0</v>
      </c>
      <c r="AP231" s="993">
        <f t="shared" si="81"/>
        <v>0</v>
      </c>
      <c r="AQ231" s="1138">
        <f t="shared" si="81"/>
        <v>0</v>
      </c>
      <c r="AR231" s="1138">
        <f t="shared" si="81"/>
        <v>0</v>
      </c>
      <c r="AS231" s="1138">
        <f t="shared" si="81"/>
        <v>0</v>
      </c>
    </row>
    <row r="232" spans="1:45" ht="38.25" x14ac:dyDescent="0.25">
      <c r="A232" s="312"/>
      <c r="B232" s="1032" t="s">
        <v>689</v>
      </c>
      <c r="C232" s="102" t="s">
        <v>43</v>
      </c>
      <c r="D232" s="26">
        <f t="shared" si="60"/>
        <v>3533.2181699999996</v>
      </c>
      <c r="E232" s="26">
        <f>R232+V232+Z232+AD232+AI232+AM232</f>
        <v>0</v>
      </c>
      <c r="F232" s="26">
        <f>S232+W232+AA232+AE232+AJ232+AN232</f>
        <v>0</v>
      </c>
      <c r="G232" s="26">
        <f>T232+X232+AB232+AF232+AK232+AO232+AS232</f>
        <v>3533.2181699999996</v>
      </c>
      <c r="H232" s="26"/>
      <c r="I232" s="809"/>
      <c r="J232" s="809"/>
      <c r="K232" s="791"/>
      <c r="L232" s="791"/>
      <c r="M232" s="791"/>
      <c r="N232" s="791"/>
      <c r="O232" s="798"/>
      <c r="P232" s="814"/>
      <c r="Q232" s="799">
        <f>R232+S232+T232</f>
        <v>935.5</v>
      </c>
      <c r="R232" s="802"/>
      <c r="S232" s="791"/>
      <c r="T232" s="791">
        <v>935.5</v>
      </c>
      <c r="U232" s="799">
        <f t="shared" si="79"/>
        <v>881.11305000000004</v>
      </c>
      <c r="V232" s="791"/>
      <c r="W232" s="791"/>
      <c r="X232" s="791">
        <f>900-18.88695</f>
        <v>881.11305000000004</v>
      </c>
      <c r="Y232" s="799">
        <f>Z232+AA232+AB232</f>
        <v>862.04512</v>
      </c>
      <c r="Z232" s="861"/>
      <c r="AA232" s="861"/>
      <c r="AB232" s="863">
        <f>900-30.5-7.45488</f>
        <v>862.04512</v>
      </c>
      <c r="AC232" s="204">
        <f t="shared" si="77"/>
        <v>854.56000000000006</v>
      </c>
      <c r="AD232" s="260"/>
      <c r="AE232" s="260"/>
      <c r="AF232" s="624">
        <f>490-390+67.95+606.19-6.58+87</f>
        <v>854.56000000000006</v>
      </c>
      <c r="AG232" s="624"/>
      <c r="AH232" s="825">
        <f t="shared" si="80"/>
        <v>0</v>
      </c>
      <c r="AI232" s="825"/>
      <c r="AJ232" s="825"/>
      <c r="AK232" s="647">
        <f>AL232+AM232+AN232</f>
        <v>0</v>
      </c>
      <c r="AL232" s="1017"/>
      <c r="AM232" s="1017"/>
      <c r="AN232" s="994"/>
      <c r="AO232" s="994"/>
      <c r="AP232" s="1017"/>
      <c r="AQ232" s="1017"/>
      <c r="AR232" s="994"/>
      <c r="AS232" s="994"/>
    </row>
    <row r="233" spans="1:45" ht="91.5" customHeight="1" x14ac:dyDescent="0.2">
      <c r="A233" s="658" t="s">
        <v>190</v>
      </c>
      <c r="B233" s="659" t="s">
        <v>294</v>
      </c>
      <c r="C233" s="660"/>
      <c r="D233" s="648">
        <f t="shared" si="60"/>
        <v>8250.3807400000005</v>
      </c>
      <c r="E233" s="648">
        <f>J233+N233+R233+V233+Z233+AD233+AI233+AM233</f>
        <v>3108.4059999999999</v>
      </c>
      <c r="F233" s="648">
        <f>K233+O233+S233+W233+AA233+AE233+AJ233+AN233</f>
        <v>4044.4</v>
      </c>
      <c r="G233" s="648">
        <f t="shared" ref="G233:G249" si="82">L233+P233+T233+X233+AB233+AF233+AK233+AO233+AS233</f>
        <v>1097.57474</v>
      </c>
      <c r="H233" s="648"/>
      <c r="I233" s="816"/>
      <c r="J233" s="816"/>
      <c r="K233" s="790"/>
      <c r="L233" s="790"/>
      <c r="M233" s="790">
        <f>N233+O233+P233</f>
        <v>1127.4000000000001</v>
      </c>
      <c r="N233" s="790">
        <f>N234+N235</f>
        <v>722.4</v>
      </c>
      <c r="O233" s="790">
        <f>O234+O235</f>
        <v>0</v>
      </c>
      <c r="P233" s="790">
        <f>P234+P235</f>
        <v>405</v>
      </c>
      <c r="Q233" s="817">
        <f>R233+S233+T233</f>
        <v>2736.0059999999999</v>
      </c>
      <c r="R233" s="790">
        <f>R234+R235</f>
        <v>2386.0059999999999</v>
      </c>
      <c r="S233" s="790">
        <f>S234+S235</f>
        <v>0</v>
      </c>
      <c r="T233" s="790">
        <f>T234+T235</f>
        <v>350</v>
      </c>
      <c r="U233" s="817">
        <f>V233+W233+X233</f>
        <v>4272.3999999999996</v>
      </c>
      <c r="V233" s="790">
        <f>V234+V235+V236</f>
        <v>0</v>
      </c>
      <c r="W233" s="790">
        <f>W234+W235+W236</f>
        <v>4044.4</v>
      </c>
      <c r="X233" s="790">
        <f>X234+X235+X236</f>
        <v>228</v>
      </c>
      <c r="Y233" s="817">
        <f>Z233+AA233+AB233</f>
        <v>0</v>
      </c>
      <c r="Z233" s="790">
        <f>Z234+Z235</f>
        <v>0</v>
      </c>
      <c r="AA233" s="790">
        <f>AA234+AA235</f>
        <v>0</v>
      </c>
      <c r="AB233" s="790">
        <f>AB234+AB235</f>
        <v>0</v>
      </c>
      <c r="AC233" s="649">
        <f t="shared" si="77"/>
        <v>114.57473999999999</v>
      </c>
      <c r="AD233" s="648">
        <f>AD234+AD235</f>
        <v>0</v>
      </c>
      <c r="AE233" s="648">
        <f>AE234+AE235</f>
        <v>0</v>
      </c>
      <c r="AF233" s="648">
        <f>AF234+AF235+AF236+AF237</f>
        <v>114.57473999999999</v>
      </c>
      <c r="AG233" s="648"/>
      <c r="AH233" s="827">
        <f t="shared" si="80"/>
        <v>0</v>
      </c>
      <c r="AI233" s="648">
        <f>AI234+AI235</f>
        <v>0</v>
      </c>
      <c r="AJ233" s="648">
        <f>AJ234+AJ235</f>
        <v>0</v>
      </c>
      <c r="AK233" s="990">
        <f>AK234+AK235</f>
        <v>0</v>
      </c>
      <c r="AL233" s="827">
        <f>AM233+AN233+AO233</f>
        <v>0</v>
      </c>
      <c r="AM233" s="648">
        <f>AM234+AM235</f>
        <v>0</v>
      </c>
      <c r="AN233" s="648">
        <f>AN234+AN235</f>
        <v>0</v>
      </c>
      <c r="AO233" s="648">
        <f>AO234+AO235</f>
        <v>0</v>
      </c>
      <c r="AP233" s="827">
        <f>AQ233+AR233+AS233</f>
        <v>0</v>
      </c>
      <c r="AQ233" s="648">
        <f>AQ234+AQ235</f>
        <v>0</v>
      </c>
      <c r="AR233" s="648">
        <f>AR234+AR235</f>
        <v>0</v>
      </c>
      <c r="AS233" s="648">
        <f>AS234+AS235</f>
        <v>0</v>
      </c>
    </row>
    <row r="234" spans="1:45" ht="24.75" x14ac:dyDescent="0.25">
      <c r="A234" s="198" t="s">
        <v>52</v>
      </c>
      <c r="B234" s="102" t="s">
        <v>162</v>
      </c>
      <c r="C234" s="102" t="s">
        <v>174</v>
      </c>
      <c r="D234" s="26">
        <f t="shared" si="60"/>
        <v>1127.4000000000001</v>
      </c>
      <c r="E234" s="24">
        <f t="shared" ref="E234:F236" si="83">J234+N234+R234+V234+Z234+AD234+AI234</f>
        <v>722.4</v>
      </c>
      <c r="F234" s="24">
        <f t="shared" si="83"/>
        <v>0</v>
      </c>
      <c r="G234" s="24">
        <f t="shared" si="82"/>
        <v>405</v>
      </c>
      <c r="H234" s="24"/>
      <c r="I234" s="791"/>
      <c r="J234" s="791"/>
      <c r="K234" s="791"/>
      <c r="L234" s="791"/>
      <c r="M234" s="791">
        <f>O234+P234+N234</f>
        <v>1127.4000000000001</v>
      </c>
      <c r="N234" s="791">
        <v>722.4</v>
      </c>
      <c r="O234" s="799"/>
      <c r="P234" s="798">
        <v>405</v>
      </c>
      <c r="Q234" s="799"/>
      <c r="R234" s="799"/>
      <c r="S234" s="791"/>
      <c r="T234" s="791"/>
      <c r="U234" s="799">
        <f t="shared" si="79"/>
        <v>0</v>
      </c>
      <c r="V234" s="791"/>
      <c r="W234" s="791"/>
      <c r="X234" s="791"/>
      <c r="Y234" s="799">
        <f>Z234+AA234+AB234</f>
        <v>0</v>
      </c>
      <c r="Z234" s="861"/>
      <c r="AA234" s="861"/>
      <c r="AB234" s="861"/>
      <c r="AC234" s="204">
        <f t="shared" si="77"/>
        <v>0</v>
      </c>
      <c r="AD234" s="623"/>
      <c r="AE234" s="623"/>
      <c r="AF234" s="824"/>
      <c r="AG234" s="824"/>
      <c r="AH234" s="825">
        <f t="shared" si="80"/>
        <v>0</v>
      </c>
      <c r="AI234" s="825"/>
      <c r="AJ234" s="825"/>
      <c r="AK234" s="987"/>
      <c r="AL234" s="913"/>
      <c r="AM234" s="913"/>
      <c r="AN234" s="913"/>
      <c r="AO234" s="913"/>
      <c r="AP234" s="913"/>
      <c r="AQ234" s="913"/>
      <c r="AR234" s="913"/>
      <c r="AS234" s="913"/>
    </row>
    <row r="235" spans="1:45" ht="29.25" customHeight="1" x14ac:dyDescent="0.25">
      <c r="A235" s="198" t="s">
        <v>282</v>
      </c>
      <c r="B235" s="102" t="s">
        <v>283</v>
      </c>
      <c r="C235" s="102" t="s">
        <v>361</v>
      </c>
      <c r="D235" s="26">
        <f>E235+F235+G235</f>
        <v>2736.0059999999999</v>
      </c>
      <c r="E235" s="24">
        <f t="shared" si="83"/>
        <v>2386.0059999999999</v>
      </c>
      <c r="F235" s="24">
        <f t="shared" si="83"/>
        <v>0</v>
      </c>
      <c r="G235" s="24">
        <f t="shared" si="82"/>
        <v>350</v>
      </c>
      <c r="H235" s="24"/>
      <c r="I235" s="791"/>
      <c r="J235" s="791"/>
      <c r="K235" s="791"/>
      <c r="L235" s="791"/>
      <c r="M235" s="791"/>
      <c r="N235" s="791"/>
      <c r="O235" s="799"/>
      <c r="P235" s="798"/>
      <c r="Q235" s="799">
        <f>R235+S235+T235</f>
        <v>2736.0059999999999</v>
      </c>
      <c r="R235" s="799">
        <v>2386.0059999999999</v>
      </c>
      <c r="S235" s="791"/>
      <c r="T235" s="791">
        <v>350</v>
      </c>
      <c r="U235" s="799">
        <f t="shared" si="79"/>
        <v>0</v>
      </c>
      <c r="V235" s="791"/>
      <c r="W235" s="791"/>
      <c r="X235" s="791"/>
      <c r="Y235" s="799">
        <f>Z235+AA235+AB235</f>
        <v>0</v>
      </c>
      <c r="Z235" s="861"/>
      <c r="AA235" s="861"/>
      <c r="AB235" s="861"/>
      <c r="AC235" s="204">
        <f t="shared" si="77"/>
        <v>0</v>
      </c>
      <c r="AD235" s="623"/>
      <c r="AE235" s="623"/>
      <c r="AF235" s="623"/>
      <c r="AG235" s="623"/>
      <c r="AH235" s="825">
        <f t="shared" si="80"/>
        <v>0</v>
      </c>
      <c r="AI235" s="825"/>
      <c r="AJ235" s="825"/>
      <c r="AK235" s="987"/>
      <c r="AL235" s="913"/>
      <c r="AM235" s="913"/>
      <c r="AN235" s="913"/>
      <c r="AO235" s="913"/>
      <c r="AP235" s="913"/>
      <c r="AQ235" s="913"/>
      <c r="AR235" s="913"/>
      <c r="AS235" s="913"/>
    </row>
    <row r="236" spans="1:45" ht="58.5" customHeight="1" x14ac:dyDescent="0.25">
      <c r="A236" s="754" t="s">
        <v>313</v>
      </c>
      <c r="B236" s="397" t="s">
        <v>591</v>
      </c>
      <c r="C236" s="102" t="s">
        <v>590</v>
      </c>
      <c r="D236" s="26">
        <f>E236+F236+G236</f>
        <v>4272.3999999999996</v>
      </c>
      <c r="E236" s="24">
        <f t="shared" si="83"/>
        <v>0</v>
      </c>
      <c r="F236" s="24">
        <f t="shared" si="83"/>
        <v>4044.4</v>
      </c>
      <c r="G236" s="24">
        <f t="shared" si="82"/>
        <v>228</v>
      </c>
      <c r="H236" s="24"/>
      <c r="I236" s="791"/>
      <c r="J236" s="791"/>
      <c r="K236" s="791"/>
      <c r="L236" s="791"/>
      <c r="M236" s="791"/>
      <c r="N236" s="791"/>
      <c r="O236" s="799"/>
      <c r="P236" s="798"/>
      <c r="Q236" s="799"/>
      <c r="R236" s="799"/>
      <c r="S236" s="791"/>
      <c r="T236" s="791"/>
      <c r="U236" s="799">
        <f t="shared" si="79"/>
        <v>4272.3999999999996</v>
      </c>
      <c r="V236" s="791"/>
      <c r="W236" s="791">
        <f>3189.4+855</f>
        <v>4044.4</v>
      </c>
      <c r="X236" s="791">
        <f>183+45</f>
        <v>228</v>
      </c>
      <c r="Y236" s="799"/>
      <c r="Z236" s="861"/>
      <c r="AA236" s="861"/>
      <c r="AB236" s="861"/>
      <c r="AC236" s="204">
        <f t="shared" si="77"/>
        <v>0</v>
      </c>
      <c r="AD236" s="623"/>
      <c r="AE236" s="623"/>
      <c r="AF236" s="623"/>
      <c r="AG236" s="623"/>
      <c r="AH236" s="825">
        <f t="shared" si="80"/>
        <v>0</v>
      </c>
      <c r="AI236" s="825"/>
      <c r="AJ236" s="825"/>
      <c r="AK236" s="987"/>
      <c r="AL236" s="913"/>
      <c r="AM236" s="913"/>
      <c r="AN236" s="913"/>
      <c r="AO236" s="913"/>
      <c r="AP236" s="913"/>
      <c r="AQ236" s="913"/>
      <c r="AR236" s="913"/>
      <c r="AS236" s="913"/>
    </row>
    <row r="237" spans="1:45" ht="23.25" customHeight="1" x14ac:dyDescent="0.25">
      <c r="A237" s="1084" t="s">
        <v>314</v>
      </c>
      <c r="B237" s="102" t="s">
        <v>704</v>
      </c>
      <c r="C237" s="102" t="s">
        <v>284</v>
      </c>
      <c r="D237" s="26">
        <f>E237+F237+G237</f>
        <v>114.57473999999999</v>
      </c>
      <c r="E237" s="24"/>
      <c r="F237" s="24">
        <f>K237+O237+S237+W237+AA237+AE237+AJ237</f>
        <v>0</v>
      </c>
      <c r="G237" s="24">
        <f t="shared" si="82"/>
        <v>114.57473999999999</v>
      </c>
      <c r="H237" s="24"/>
      <c r="I237" s="791"/>
      <c r="J237" s="791"/>
      <c r="K237" s="791"/>
      <c r="L237" s="791"/>
      <c r="M237" s="791"/>
      <c r="N237" s="791"/>
      <c r="O237" s="799"/>
      <c r="P237" s="798"/>
      <c r="Q237" s="799"/>
      <c r="R237" s="799"/>
      <c r="S237" s="791"/>
      <c r="T237" s="791"/>
      <c r="U237" s="799"/>
      <c r="V237" s="791"/>
      <c r="W237" s="791"/>
      <c r="X237" s="791"/>
      <c r="Y237" s="799"/>
      <c r="Z237" s="861"/>
      <c r="AA237" s="861"/>
      <c r="AB237" s="861"/>
      <c r="AC237" s="204">
        <f t="shared" si="77"/>
        <v>114.57473999999999</v>
      </c>
      <c r="AD237" s="260"/>
      <c r="AE237" s="260"/>
      <c r="AF237" s="624">
        <f>198.296-83.72126</f>
        <v>114.57473999999999</v>
      </c>
      <c r="AG237" s="623"/>
      <c r="AH237" s="825"/>
      <c r="AI237" s="825"/>
      <c r="AJ237" s="825"/>
      <c r="AK237" s="987"/>
      <c r="AL237" s="913"/>
      <c r="AM237" s="913"/>
      <c r="AN237" s="913"/>
      <c r="AO237" s="913"/>
      <c r="AP237" s="913"/>
      <c r="AQ237" s="913"/>
      <c r="AR237" s="913"/>
      <c r="AS237" s="913"/>
    </row>
    <row r="238" spans="1:45" ht="26.45" customHeight="1" x14ac:dyDescent="0.2">
      <c r="A238" s="652" t="s">
        <v>191</v>
      </c>
      <c r="B238" s="653" t="s">
        <v>267</v>
      </c>
      <c r="C238" s="653"/>
      <c r="D238" s="648">
        <f t="shared" si="60"/>
        <v>254932.93092000001</v>
      </c>
      <c r="E238" s="648">
        <f>J238+N238+R238+V238+Z238+AD238+AI238+AM238</f>
        <v>0</v>
      </c>
      <c r="F238" s="648">
        <f>K238+O238+S238+W238+AA238+AE238+AJ238+AN238</f>
        <v>229363.1</v>
      </c>
      <c r="G238" s="648">
        <f t="shared" si="82"/>
        <v>25569.83092</v>
      </c>
      <c r="H238" s="648"/>
      <c r="I238" s="790">
        <f t="shared" ref="I238:X238" si="84">I239+I251+I252</f>
        <v>34113.1</v>
      </c>
      <c r="J238" s="790">
        <f t="shared" si="84"/>
        <v>0</v>
      </c>
      <c r="K238" s="790">
        <f t="shared" si="84"/>
        <v>28009.899999999998</v>
      </c>
      <c r="L238" s="790">
        <f t="shared" si="84"/>
        <v>6103.2</v>
      </c>
      <c r="M238" s="790">
        <f t="shared" si="84"/>
        <v>28638.899999999998</v>
      </c>
      <c r="N238" s="790">
        <f t="shared" si="84"/>
        <v>0</v>
      </c>
      <c r="O238" s="790">
        <f t="shared" si="84"/>
        <v>25839.1</v>
      </c>
      <c r="P238" s="790">
        <f t="shared" si="84"/>
        <v>2799.8</v>
      </c>
      <c r="Q238" s="790">
        <f t="shared" si="84"/>
        <v>32124.849839999999</v>
      </c>
      <c r="R238" s="790">
        <f t="shared" si="84"/>
        <v>0</v>
      </c>
      <c r="S238" s="790">
        <f t="shared" si="84"/>
        <v>29588.2</v>
      </c>
      <c r="T238" s="790">
        <f t="shared" si="84"/>
        <v>2536.6438399999997</v>
      </c>
      <c r="U238" s="790">
        <f t="shared" si="84"/>
        <v>32602.289999999997</v>
      </c>
      <c r="V238" s="790">
        <f t="shared" si="84"/>
        <v>0</v>
      </c>
      <c r="W238" s="790">
        <f t="shared" si="84"/>
        <v>30797.8</v>
      </c>
      <c r="X238" s="790">
        <f t="shared" si="84"/>
        <v>1804.49</v>
      </c>
      <c r="Y238" s="817">
        <f>Z238+AA238+AB238</f>
        <v>29845.365000000002</v>
      </c>
      <c r="Z238" s="790">
        <f>Z239+Z251+Z252</f>
        <v>0</v>
      </c>
      <c r="AA238" s="790">
        <f>AA239+AA251+AA252+AA253</f>
        <v>27574.7</v>
      </c>
      <c r="AB238" s="790">
        <f>AB239+AB251+AB252+AB253</f>
        <v>2270.665</v>
      </c>
      <c r="AC238" s="649">
        <f>AD238+AE238+AF238</f>
        <v>30556.732080000002</v>
      </c>
      <c r="AD238" s="1107">
        <f>AD239+AD251+AD252</f>
        <v>0</v>
      </c>
      <c r="AE238" s="648">
        <f>AE239+AE251+AE252</f>
        <v>28257.7</v>
      </c>
      <c r="AF238" s="648">
        <f>AF239+AF251+AF252</f>
        <v>2299.03208</v>
      </c>
      <c r="AG238" s="648"/>
      <c r="AH238" s="649">
        <f t="shared" si="80"/>
        <v>32064.899999999998</v>
      </c>
      <c r="AI238" s="651">
        <f>AI239+AI251+AI252</f>
        <v>0</v>
      </c>
      <c r="AJ238" s="651">
        <f>AJ239+AJ251+AJ252</f>
        <v>29164.899999999998</v>
      </c>
      <c r="AK238" s="983">
        <f>AK239+AK251+AK252+AK250</f>
        <v>2900</v>
      </c>
      <c r="AL238" s="909">
        <f>AM238+AN238+AO238</f>
        <v>32558.799999999999</v>
      </c>
      <c r="AM238" s="657">
        <f>AM239+AM251+AM252</f>
        <v>0</v>
      </c>
      <c r="AN238" s="657">
        <f>AN239+AN251+AN252</f>
        <v>30130.799999999999</v>
      </c>
      <c r="AO238" s="657">
        <f>AO239+AO251+AO252</f>
        <v>2428</v>
      </c>
      <c r="AP238" s="909">
        <f>AQ238+AR238+AS238</f>
        <v>33754.9</v>
      </c>
      <c r="AQ238" s="657">
        <f>AQ239+AQ251+AQ252</f>
        <v>0</v>
      </c>
      <c r="AR238" s="657">
        <f>AR239+AR251+AR252</f>
        <v>31326.9</v>
      </c>
      <c r="AS238" s="657">
        <f>AS239+AS251+AS252</f>
        <v>2428</v>
      </c>
    </row>
    <row r="239" spans="1:45" ht="50.45" customHeight="1" x14ac:dyDescent="0.25">
      <c r="A239" s="151" t="s">
        <v>229</v>
      </c>
      <c r="B239" s="149" t="s">
        <v>295</v>
      </c>
      <c r="C239" s="149"/>
      <c r="D239" s="205">
        <f t="shared" si="60"/>
        <v>4768.1419999999998</v>
      </c>
      <c r="E239" s="22">
        <f>J239+N239+R239+V239+Z239+AD239+AI239+AM239</f>
        <v>0</v>
      </c>
      <c r="F239" s="22">
        <f>K239+O239+S239+W239+AA239+AE239+AJ239+AN239</f>
        <v>0</v>
      </c>
      <c r="G239" s="22">
        <f t="shared" si="82"/>
        <v>4768.1419999999998</v>
      </c>
      <c r="H239" s="22"/>
      <c r="I239" s="800">
        <f>SUM(I241:I246)</f>
        <v>3508.2</v>
      </c>
      <c r="J239" s="800">
        <f>SUM(J241:J246)</f>
        <v>0</v>
      </c>
      <c r="K239" s="800">
        <f>SUM(K241:K246)</f>
        <v>0</v>
      </c>
      <c r="L239" s="800">
        <f>SUM(L241:L246)</f>
        <v>3508.2</v>
      </c>
      <c r="M239" s="800">
        <f>SUM(M240:M246)</f>
        <v>349.8</v>
      </c>
      <c r="N239" s="800">
        <f>SUM(N241:N246)</f>
        <v>0</v>
      </c>
      <c r="O239" s="800">
        <f>SUM(O240:O246)</f>
        <v>0</v>
      </c>
      <c r="P239" s="800">
        <f>SUM(P240:P246)</f>
        <v>349.8</v>
      </c>
      <c r="Q239" s="800">
        <f>SUM(Q241:Q249)</f>
        <v>813.81299999999999</v>
      </c>
      <c r="R239" s="800">
        <f>SUM(R241:R246)</f>
        <v>0</v>
      </c>
      <c r="S239" s="800">
        <f>SUM(S241:S246)</f>
        <v>0</v>
      </c>
      <c r="T239" s="800">
        <f>SUM(T241:T249)</f>
        <v>813.80700000000002</v>
      </c>
      <c r="U239" s="800">
        <f>V239+W239+X239</f>
        <v>9.19</v>
      </c>
      <c r="V239" s="800">
        <f>SUM(V241:V249)</f>
        <v>0</v>
      </c>
      <c r="W239" s="800">
        <f>SUM(W241:W249)</f>
        <v>0</v>
      </c>
      <c r="X239" s="800">
        <f>X240</f>
        <v>9.19</v>
      </c>
      <c r="Y239" s="815">
        <f>Z239+AA239+AB239</f>
        <v>87.144999999999996</v>
      </c>
      <c r="Z239" s="800">
        <f>SUM(Z241:Z249)</f>
        <v>0</v>
      </c>
      <c r="AA239" s="800">
        <f>SUM(AA241:AA249)</f>
        <v>0</v>
      </c>
      <c r="AB239" s="800">
        <f>SUM(AB241:AB249)</f>
        <v>87.144999999999996</v>
      </c>
      <c r="AC239" s="230">
        <f>AD239+AE239+AF239</f>
        <v>0</v>
      </c>
      <c r="AD239" s="205">
        <f>SUM(AD241:AD249)</f>
        <v>0</v>
      </c>
      <c r="AE239" s="205">
        <f>SUM(AE241:AE249)</f>
        <v>0</v>
      </c>
      <c r="AF239" s="205">
        <f>SUM(AF241:AF249)</f>
        <v>0</v>
      </c>
      <c r="AG239" s="205"/>
      <c r="AH239" s="825">
        <f t="shared" ref="AH239:AH251" si="85">AI239+AJ239+AK239</f>
        <v>0</v>
      </c>
      <c r="AI239" s="888">
        <f>SUM(AI241:AI249)</f>
        <v>0</v>
      </c>
      <c r="AJ239" s="888">
        <f>SUM(AJ241:AJ249)</f>
        <v>0</v>
      </c>
      <c r="AK239" s="888">
        <f>SUM(AK241:AK249)</f>
        <v>0</v>
      </c>
      <c r="AL239" s="829">
        <f>AM239+AN239+AO239</f>
        <v>0</v>
      </c>
      <c r="AM239" s="205">
        <f>SUM(AM241:AM249)</f>
        <v>0</v>
      </c>
      <c r="AN239" s="205">
        <f>SUM(AN241:AN249)</f>
        <v>0</v>
      </c>
      <c r="AO239" s="205">
        <f>SUM(AO241:AO249)</f>
        <v>0</v>
      </c>
      <c r="AP239" s="829">
        <f>AQ239+AR239+AS239</f>
        <v>0</v>
      </c>
      <c r="AQ239" s="205">
        <f>SUM(AQ241:AQ249)</f>
        <v>0</v>
      </c>
      <c r="AR239" s="205">
        <f>SUM(AR241:AR249)</f>
        <v>0</v>
      </c>
      <c r="AS239" s="205">
        <f>SUM(AS241:AS249)</f>
        <v>0</v>
      </c>
    </row>
    <row r="240" spans="1:45" ht="24.75" x14ac:dyDescent="0.25">
      <c r="A240" s="151"/>
      <c r="B240" s="102" t="s">
        <v>324</v>
      </c>
      <c r="C240" s="102" t="s">
        <v>32</v>
      </c>
      <c r="D240" s="26">
        <f t="shared" si="60"/>
        <v>36.39</v>
      </c>
      <c r="E240" s="24">
        <f t="shared" ref="E240:E249" si="86">J240+N240+R240+V240+Z240+AD240+AI240</f>
        <v>0</v>
      </c>
      <c r="F240" s="24">
        <f t="shared" ref="F240:F249" si="87">K240+O240+S240+W240+AA240+AE240+AJ240</f>
        <v>0</v>
      </c>
      <c r="G240" s="24">
        <f t="shared" si="82"/>
        <v>36.39</v>
      </c>
      <c r="H240" s="24"/>
      <c r="I240" s="791"/>
      <c r="J240" s="791"/>
      <c r="K240" s="791"/>
      <c r="L240" s="791"/>
      <c r="M240" s="791">
        <f>N240+O240+P240</f>
        <v>27.2</v>
      </c>
      <c r="N240" s="791"/>
      <c r="O240" s="791"/>
      <c r="P240" s="791">
        <v>27.2</v>
      </c>
      <c r="Q240" s="800"/>
      <c r="R240" s="800"/>
      <c r="S240" s="800"/>
      <c r="T240" s="800"/>
      <c r="U240" s="791">
        <f>V240+W240+X240</f>
        <v>9.19</v>
      </c>
      <c r="V240" s="800"/>
      <c r="W240" s="800"/>
      <c r="X240" s="791">
        <v>9.19</v>
      </c>
      <c r="Y240" s="815"/>
      <c r="Z240" s="800"/>
      <c r="AA240" s="800"/>
      <c r="AB240" s="800"/>
      <c r="AC240" s="623"/>
      <c r="AD240" s="623"/>
      <c r="AE240" s="623"/>
      <c r="AF240" s="623"/>
      <c r="AG240" s="623"/>
      <c r="AH240" s="825">
        <f t="shared" si="85"/>
        <v>0</v>
      </c>
      <c r="AI240" s="825"/>
      <c r="AJ240" s="825"/>
      <c r="AK240" s="987"/>
      <c r="AL240" s="913"/>
      <c r="AM240" s="913"/>
      <c r="AN240" s="913"/>
      <c r="AO240" s="913"/>
      <c r="AP240" s="913"/>
      <c r="AQ240" s="913"/>
      <c r="AR240" s="913"/>
      <c r="AS240" s="913"/>
    </row>
    <row r="241" spans="1:45" ht="24.75" x14ac:dyDescent="0.25">
      <c r="A241" s="232"/>
      <c r="B241" s="102" t="s">
        <v>72</v>
      </c>
      <c r="C241" s="102" t="s">
        <v>34</v>
      </c>
      <c r="D241" s="26">
        <f t="shared" si="60"/>
        <v>3508.2</v>
      </c>
      <c r="E241" s="24">
        <f t="shared" si="86"/>
        <v>0</v>
      </c>
      <c r="F241" s="24">
        <f t="shared" si="87"/>
        <v>0</v>
      </c>
      <c r="G241" s="24">
        <f t="shared" si="82"/>
        <v>3508.2</v>
      </c>
      <c r="H241" s="24"/>
      <c r="I241" s="791">
        <f>J241+K241+L241</f>
        <v>3508.2</v>
      </c>
      <c r="J241" s="791"/>
      <c r="K241" s="791"/>
      <c r="L241" s="791">
        <v>3508.2</v>
      </c>
      <c r="M241" s="791"/>
      <c r="N241" s="791"/>
      <c r="O241" s="799"/>
      <c r="P241" s="799"/>
      <c r="Q241" s="802"/>
      <c r="R241" s="802"/>
      <c r="S241" s="800"/>
      <c r="T241" s="800"/>
      <c r="U241" s="791"/>
      <c r="V241" s="791"/>
      <c r="W241" s="800"/>
      <c r="X241" s="800"/>
      <c r="Y241" s="861"/>
      <c r="Z241" s="861"/>
      <c r="AA241" s="861"/>
      <c r="AB241" s="861"/>
      <c r="AC241" s="623"/>
      <c r="AD241" s="623"/>
      <c r="AE241" s="623"/>
      <c r="AF241" s="623"/>
      <c r="AG241" s="623"/>
      <c r="AH241" s="825">
        <f t="shared" si="85"/>
        <v>0</v>
      </c>
      <c r="AI241" s="825"/>
      <c r="AJ241" s="825"/>
      <c r="AK241" s="987"/>
      <c r="AL241" s="913"/>
      <c r="AM241" s="913"/>
      <c r="AN241" s="913"/>
      <c r="AO241" s="913"/>
      <c r="AP241" s="913"/>
      <c r="AQ241" s="913"/>
      <c r="AR241" s="913"/>
      <c r="AS241" s="913"/>
    </row>
    <row r="242" spans="1:45" ht="27.6" customHeight="1" x14ac:dyDescent="0.25">
      <c r="A242" s="232"/>
      <c r="B242" s="102" t="s">
        <v>290</v>
      </c>
      <c r="C242" s="102" t="s">
        <v>25</v>
      </c>
      <c r="D242" s="26">
        <f t="shared" si="60"/>
        <v>0</v>
      </c>
      <c r="E242" s="24">
        <f t="shared" si="86"/>
        <v>0</v>
      </c>
      <c r="F242" s="24">
        <f t="shared" si="87"/>
        <v>0</v>
      </c>
      <c r="G242" s="24">
        <f t="shared" si="82"/>
        <v>0</v>
      </c>
      <c r="H242" s="24"/>
      <c r="I242" s="791"/>
      <c r="J242" s="791"/>
      <c r="K242" s="791"/>
      <c r="L242" s="791"/>
      <c r="M242" s="791"/>
      <c r="N242" s="791"/>
      <c r="O242" s="799"/>
      <c r="P242" s="799"/>
      <c r="Q242" s="798">
        <f>R242+S242+T242</f>
        <v>0</v>
      </c>
      <c r="R242" s="798"/>
      <c r="S242" s="791"/>
      <c r="T242" s="791"/>
      <c r="U242" s="791"/>
      <c r="V242" s="791"/>
      <c r="W242" s="791"/>
      <c r="X242" s="791"/>
      <c r="Y242" s="791">
        <f>Z242+AA242+AB242</f>
        <v>0</v>
      </c>
      <c r="Z242" s="861"/>
      <c r="AA242" s="861"/>
      <c r="AB242" s="861"/>
      <c r="AC242" s="623"/>
      <c r="AD242" s="623"/>
      <c r="AE242" s="623"/>
      <c r="AF242" s="623"/>
      <c r="AG242" s="623"/>
      <c r="AH242" s="825">
        <f t="shared" si="85"/>
        <v>0</v>
      </c>
      <c r="AI242" s="825"/>
      <c r="AJ242" s="825"/>
      <c r="AK242" s="987"/>
      <c r="AL242" s="913"/>
      <c r="AM242" s="913"/>
      <c r="AN242" s="913"/>
      <c r="AO242" s="913"/>
      <c r="AP242" s="913"/>
      <c r="AQ242" s="913"/>
      <c r="AR242" s="913"/>
      <c r="AS242" s="913"/>
    </row>
    <row r="243" spans="1:45" ht="25.9" customHeight="1" x14ac:dyDescent="0.25">
      <c r="A243" s="232"/>
      <c r="B243" s="102" t="s">
        <v>165</v>
      </c>
      <c r="C243" s="102" t="s">
        <v>77</v>
      </c>
      <c r="D243" s="26">
        <f t="shared" si="60"/>
        <v>60</v>
      </c>
      <c r="E243" s="24">
        <f t="shared" si="86"/>
        <v>0</v>
      </c>
      <c r="F243" s="24">
        <f t="shared" si="87"/>
        <v>0</v>
      </c>
      <c r="G243" s="24">
        <f t="shared" si="82"/>
        <v>60</v>
      </c>
      <c r="H243" s="24"/>
      <c r="I243" s="791"/>
      <c r="J243" s="791"/>
      <c r="K243" s="791"/>
      <c r="L243" s="791"/>
      <c r="M243" s="791">
        <f t="shared" ref="M243:M252" si="88">N243+O243+P243</f>
        <v>60</v>
      </c>
      <c r="N243" s="791"/>
      <c r="O243" s="799"/>
      <c r="P243" s="798">
        <v>60</v>
      </c>
      <c r="Q243" s="802"/>
      <c r="R243" s="802"/>
      <c r="S243" s="791"/>
      <c r="T243" s="791"/>
      <c r="U243" s="791"/>
      <c r="V243" s="791"/>
      <c r="W243" s="791"/>
      <c r="X243" s="791"/>
      <c r="Y243" s="791">
        <f t="shared" ref="Y243:Y249" si="89">Z243+AA243+AB243</f>
        <v>0</v>
      </c>
      <c r="Z243" s="861"/>
      <c r="AA243" s="861"/>
      <c r="AB243" s="861"/>
      <c r="AC243" s="623"/>
      <c r="AD243" s="623"/>
      <c r="AE243" s="623"/>
      <c r="AF243" s="623"/>
      <c r="AG243" s="623"/>
      <c r="AH243" s="825">
        <f t="shared" si="85"/>
        <v>0</v>
      </c>
      <c r="AI243" s="825"/>
      <c r="AJ243" s="825"/>
      <c r="AK243" s="987"/>
      <c r="AL243" s="913"/>
      <c r="AM243" s="913"/>
      <c r="AN243" s="913"/>
      <c r="AO243" s="913"/>
      <c r="AP243" s="913"/>
      <c r="AQ243" s="913"/>
      <c r="AR243" s="913"/>
      <c r="AS243" s="913"/>
    </row>
    <row r="244" spans="1:45" ht="15" x14ac:dyDescent="0.25">
      <c r="A244" s="232"/>
      <c r="B244" s="102" t="s">
        <v>169</v>
      </c>
      <c r="C244" s="102" t="s">
        <v>105</v>
      </c>
      <c r="D244" s="26">
        <f t="shared" si="60"/>
        <v>52.6</v>
      </c>
      <c r="E244" s="24">
        <f t="shared" si="86"/>
        <v>0</v>
      </c>
      <c r="F244" s="24">
        <f t="shared" si="87"/>
        <v>0</v>
      </c>
      <c r="G244" s="24">
        <f t="shared" si="82"/>
        <v>52.6</v>
      </c>
      <c r="H244" s="24"/>
      <c r="I244" s="791"/>
      <c r="J244" s="791"/>
      <c r="K244" s="791"/>
      <c r="L244" s="791"/>
      <c r="M244" s="791">
        <f t="shared" si="88"/>
        <v>52.6</v>
      </c>
      <c r="N244" s="791"/>
      <c r="O244" s="799"/>
      <c r="P244" s="798">
        <v>52.6</v>
      </c>
      <c r="Q244" s="802"/>
      <c r="R244" s="802"/>
      <c r="S244" s="791"/>
      <c r="T244" s="791"/>
      <c r="U244" s="791"/>
      <c r="V244" s="791"/>
      <c r="W244" s="791"/>
      <c r="X244" s="791"/>
      <c r="Y244" s="791">
        <f t="shared" si="89"/>
        <v>0</v>
      </c>
      <c r="Z244" s="861"/>
      <c r="AA244" s="861"/>
      <c r="AB244" s="861"/>
      <c r="AC244" s="623"/>
      <c r="AD244" s="623"/>
      <c r="AE244" s="623"/>
      <c r="AF244" s="623"/>
      <c r="AG244" s="623"/>
      <c r="AH244" s="825">
        <f t="shared" si="85"/>
        <v>0</v>
      </c>
      <c r="AI244" s="825"/>
      <c r="AJ244" s="825"/>
      <c r="AK244" s="987"/>
      <c r="AL244" s="913"/>
      <c r="AM244" s="913"/>
      <c r="AN244" s="913"/>
      <c r="AO244" s="913"/>
      <c r="AP244" s="913"/>
      <c r="AQ244" s="913"/>
      <c r="AR244" s="913"/>
      <c r="AS244" s="913"/>
    </row>
    <row r="245" spans="1:45" ht="24.75" x14ac:dyDescent="0.25">
      <c r="A245" s="232"/>
      <c r="B245" s="102" t="s">
        <v>169</v>
      </c>
      <c r="C245" s="102" t="s">
        <v>281</v>
      </c>
      <c r="D245" s="26">
        <f t="shared" si="60"/>
        <v>80</v>
      </c>
      <c r="E245" s="24">
        <f t="shared" si="86"/>
        <v>0</v>
      </c>
      <c r="F245" s="24">
        <f t="shared" si="87"/>
        <v>0</v>
      </c>
      <c r="G245" s="24">
        <f t="shared" si="82"/>
        <v>80</v>
      </c>
      <c r="H245" s="24"/>
      <c r="I245" s="791"/>
      <c r="J245" s="791"/>
      <c r="K245" s="791"/>
      <c r="L245" s="791"/>
      <c r="M245" s="791">
        <f t="shared" si="88"/>
        <v>80</v>
      </c>
      <c r="N245" s="791"/>
      <c r="O245" s="799"/>
      <c r="P245" s="798">
        <v>80</v>
      </c>
      <c r="Q245" s="802"/>
      <c r="R245" s="802"/>
      <c r="S245" s="791"/>
      <c r="T245" s="791"/>
      <c r="U245" s="791"/>
      <c r="V245" s="791"/>
      <c r="W245" s="791"/>
      <c r="X245" s="791"/>
      <c r="Y245" s="791">
        <f t="shared" si="89"/>
        <v>0</v>
      </c>
      <c r="Z245" s="861"/>
      <c r="AA245" s="861"/>
      <c r="AB245" s="861"/>
      <c r="AC245" s="623"/>
      <c r="AD245" s="623"/>
      <c r="AE245" s="623"/>
      <c r="AF245" s="623"/>
      <c r="AG245" s="623"/>
      <c r="AH245" s="825">
        <f t="shared" si="85"/>
        <v>0</v>
      </c>
      <c r="AI245" s="825"/>
      <c r="AJ245" s="825"/>
      <c r="AK245" s="987"/>
      <c r="AL245" s="913"/>
      <c r="AM245" s="913"/>
      <c r="AN245" s="913"/>
      <c r="AO245" s="913"/>
      <c r="AP245" s="913"/>
      <c r="AQ245" s="913"/>
      <c r="AR245" s="913"/>
      <c r="AS245" s="913"/>
    </row>
    <row r="246" spans="1:45" ht="30" customHeight="1" x14ac:dyDescent="0.25">
      <c r="A246" s="232"/>
      <c r="B246" s="102" t="s">
        <v>168</v>
      </c>
      <c r="C246" s="102" t="s">
        <v>159</v>
      </c>
      <c r="D246" s="26">
        <f t="shared" si="60"/>
        <v>130</v>
      </c>
      <c r="E246" s="24">
        <f t="shared" si="86"/>
        <v>0</v>
      </c>
      <c r="F246" s="24">
        <f t="shared" si="87"/>
        <v>0</v>
      </c>
      <c r="G246" s="24">
        <f t="shared" si="82"/>
        <v>130</v>
      </c>
      <c r="H246" s="24"/>
      <c r="I246" s="791"/>
      <c r="J246" s="791"/>
      <c r="K246" s="791"/>
      <c r="L246" s="791"/>
      <c r="M246" s="791">
        <f t="shared" si="88"/>
        <v>130</v>
      </c>
      <c r="N246" s="791"/>
      <c r="O246" s="799"/>
      <c r="P246" s="798">
        <v>130</v>
      </c>
      <c r="Q246" s="802"/>
      <c r="R246" s="802"/>
      <c r="S246" s="791"/>
      <c r="T246" s="791"/>
      <c r="U246" s="791"/>
      <c r="V246" s="791"/>
      <c r="W246" s="791"/>
      <c r="X246" s="791"/>
      <c r="Y246" s="791">
        <f t="shared" si="89"/>
        <v>0</v>
      </c>
      <c r="Z246" s="861"/>
      <c r="AA246" s="861"/>
      <c r="AB246" s="861"/>
      <c r="AC246" s="623"/>
      <c r="AD246" s="623"/>
      <c r="AE246" s="623"/>
      <c r="AF246" s="623"/>
      <c r="AG246" s="623"/>
      <c r="AH246" s="825">
        <f t="shared" si="85"/>
        <v>0</v>
      </c>
      <c r="AI246" s="825"/>
      <c r="AJ246" s="825"/>
      <c r="AK246" s="987"/>
      <c r="AL246" s="913"/>
      <c r="AM246" s="913"/>
      <c r="AN246" s="913"/>
      <c r="AO246" s="913"/>
      <c r="AP246" s="913"/>
      <c r="AQ246" s="913"/>
      <c r="AR246" s="913"/>
      <c r="AS246" s="913"/>
    </row>
    <row r="247" spans="1:45" ht="15" x14ac:dyDescent="0.25">
      <c r="A247" s="232"/>
      <c r="B247" s="102" t="s">
        <v>328</v>
      </c>
      <c r="C247" s="102" t="s">
        <v>22</v>
      </c>
      <c r="D247" s="26">
        <f t="shared" si="60"/>
        <v>120</v>
      </c>
      <c r="E247" s="24">
        <f t="shared" si="86"/>
        <v>0</v>
      </c>
      <c r="F247" s="24">
        <f t="shared" si="87"/>
        <v>0</v>
      </c>
      <c r="G247" s="24">
        <f t="shared" si="82"/>
        <v>120</v>
      </c>
      <c r="H247" s="24"/>
      <c r="I247" s="791">
        <f>J247+K247+L247</f>
        <v>0</v>
      </c>
      <c r="J247" s="791"/>
      <c r="K247" s="791"/>
      <c r="L247" s="791"/>
      <c r="M247" s="791"/>
      <c r="N247" s="791"/>
      <c r="O247" s="799"/>
      <c r="P247" s="798"/>
      <c r="Q247" s="802">
        <f>R247+S247+T247</f>
        <v>120</v>
      </c>
      <c r="R247" s="802"/>
      <c r="S247" s="791"/>
      <c r="T247" s="791">
        <v>120</v>
      </c>
      <c r="U247" s="791"/>
      <c r="V247" s="791"/>
      <c r="W247" s="791"/>
      <c r="X247" s="791"/>
      <c r="Y247" s="791">
        <f t="shared" si="89"/>
        <v>0</v>
      </c>
      <c r="Z247" s="861"/>
      <c r="AA247" s="861"/>
      <c r="AB247" s="861"/>
      <c r="AC247" s="623"/>
      <c r="AD247" s="623"/>
      <c r="AE247" s="623"/>
      <c r="AF247" s="623"/>
      <c r="AG247" s="623"/>
      <c r="AH247" s="825">
        <f t="shared" si="85"/>
        <v>0</v>
      </c>
      <c r="AI247" s="825"/>
      <c r="AJ247" s="825"/>
      <c r="AK247" s="987"/>
      <c r="AL247" s="913"/>
      <c r="AM247" s="913"/>
      <c r="AN247" s="913"/>
      <c r="AO247" s="913"/>
      <c r="AP247" s="913"/>
      <c r="AQ247" s="913"/>
      <c r="AR247" s="913"/>
      <c r="AS247" s="913"/>
    </row>
    <row r="248" spans="1:45" ht="36.75" x14ac:dyDescent="0.25">
      <c r="A248" s="232"/>
      <c r="B248" s="102" t="s">
        <v>341</v>
      </c>
      <c r="C248" s="102" t="s">
        <v>336</v>
      </c>
      <c r="D248" s="26">
        <f t="shared" si="60"/>
        <v>676.91300000000001</v>
      </c>
      <c r="E248" s="24">
        <f t="shared" si="86"/>
        <v>6.0000000000000001E-3</v>
      </c>
      <c r="F248" s="24">
        <f t="shared" si="87"/>
        <v>0</v>
      </c>
      <c r="G248" s="24">
        <f t="shared" si="82"/>
        <v>676.90700000000004</v>
      </c>
      <c r="H248" s="24"/>
      <c r="I248" s="791"/>
      <c r="J248" s="791"/>
      <c r="K248" s="791"/>
      <c r="L248" s="791"/>
      <c r="M248" s="791"/>
      <c r="N248" s="791"/>
      <c r="O248" s="799"/>
      <c r="P248" s="798"/>
      <c r="Q248" s="802">
        <f>R248+S248+T248</f>
        <v>676.91300000000001</v>
      </c>
      <c r="R248" s="799">
        <v>6.0000000000000001E-3</v>
      </c>
      <c r="S248" s="791"/>
      <c r="T248" s="791">
        <v>676.90700000000004</v>
      </c>
      <c r="U248" s="791"/>
      <c r="V248" s="791"/>
      <c r="W248" s="791"/>
      <c r="X248" s="791"/>
      <c r="Y248" s="791">
        <f t="shared" si="89"/>
        <v>0</v>
      </c>
      <c r="Z248" s="861"/>
      <c r="AA248" s="861"/>
      <c r="AB248" s="861"/>
      <c r="AC248" s="623"/>
      <c r="AD248" s="635"/>
      <c r="AE248" s="635"/>
      <c r="AF248" s="635"/>
      <c r="AG248" s="635"/>
      <c r="AH248" s="825">
        <f t="shared" si="85"/>
        <v>0</v>
      </c>
      <c r="AI248" s="825"/>
      <c r="AJ248" s="825"/>
      <c r="AK248" s="987"/>
      <c r="AL248" s="913"/>
      <c r="AM248" s="913"/>
      <c r="AN248" s="913"/>
      <c r="AO248" s="913"/>
      <c r="AP248" s="913"/>
      <c r="AQ248" s="913"/>
      <c r="AR248" s="913"/>
      <c r="AS248" s="913"/>
    </row>
    <row r="249" spans="1:45" ht="39.75" customHeight="1" x14ac:dyDescent="0.25">
      <c r="A249" s="232"/>
      <c r="B249" s="102" t="s">
        <v>168</v>
      </c>
      <c r="C249" s="102" t="s">
        <v>691</v>
      </c>
      <c r="D249" s="26">
        <f t="shared" si="60"/>
        <v>104.04499999999999</v>
      </c>
      <c r="E249" s="24">
        <f t="shared" si="86"/>
        <v>0</v>
      </c>
      <c r="F249" s="24">
        <f t="shared" si="87"/>
        <v>0</v>
      </c>
      <c r="G249" s="24">
        <f t="shared" si="82"/>
        <v>104.04499999999999</v>
      </c>
      <c r="H249" s="24"/>
      <c r="I249" s="791"/>
      <c r="J249" s="791"/>
      <c r="K249" s="791"/>
      <c r="L249" s="791"/>
      <c r="M249" s="791"/>
      <c r="N249" s="791"/>
      <c r="O249" s="799"/>
      <c r="P249" s="798"/>
      <c r="Q249" s="802">
        <f>R249+S249+T249</f>
        <v>16.899999999999999</v>
      </c>
      <c r="R249" s="802"/>
      <c r="S249" s="791"/>
      <c r="T249" s="791">
        <v>16.899999999999999</v>
      </c>
      <c r="U249" s="791"/>
      <c r="V249" s="791"/>
      <c r="W249" s="791"/>
      <c r="X249" s="791"/>
      <c r="Y249" s="791">
        <f t="shared" si="89"/>
        <v>87.144999999999996</v>
      </c>
      <c r="Z249" s="861"/>
      <c r="AA249" s="861"/>
      <c r="AB249" s="861">
        <v>87.144999999999996</v>
      </c>
      <c r="AC249" s="623"/>
      <c r="AD249" s="635"/>
      <c r="AE249" s="635"/>
      <c r="AF249" s="635"/>
      <c r="AG249" s="635"/>
      <c r="AH249" s="825">
        <f t="shared" si="85"/>
        <v>0</v>
      </c>
      <c r="AI249" s="825"/>
      <c r="AJ249" s="825"/>
      <c r="AK249" s="987"/>
      <c r="AL249" s="913"/>
      <c r="AM249" s="913"/>
      <c r="AN249" s="913"/>
      <c r="AO249" s="913"/>
      <c r="AP249" s="913"/>
      <c r="AQ249" s="913"/>
      <c r="AR249" s="913"/>
      <c r="AS249" s="913"/>
    </row>
    <row r="250" spans="1:45" ht="20.25" customHeight="1" x14ac:dyDescent="0.25">
      <c r="A250" s="232"/>
      <c r="B250" s="94" t="s">
        <v>760</v>
      </c>
      <c r="C250" s="102" t="s">
        <v>77</v>
      </c>
      <c r="D250" s="26"/>
      <c r="E250" s="24"/>
      <c r="F250" s="24"/>
      <c r="G250" s="24"/>
      <c r="H250" s="24"/>
      <c r="I250" s="791"/>
      <c r="J250" s="791"/>
      <c r="K250" s="791"/>
      <c r="L250" s="791"/>
      <c r="M250" s="791"/>
      <c r="N250" s="791"/>
      <c r="O250" s="799"/>
      <c r="P250" s="798"/>
      <c r="Q250" s="802"/>
      <c r="R250" s="802"/>
      <c r="S250" s="791"/>
      <c r="T250" s="791"/>
      <c r="U250" s="791"/>
      <c r="V250" s="791"/>
      <c r="W250" s="791"/>
      <c r="X250" s="791"/>
      <c r="Y250" s="791"/>
      <c r="Z250" s="861"/>
      <c r="AA250" s="861"/>
      <c r="AB250" s="861"/>
      <c r="AC250" s="623"/>
      <c r="AD250" s="635"/>
      <c r="AE250" s="635"/>
      <c r="AF250" s="635"/>
      <c r="AG250" s="635"/>
      <c r="AH250" s="749">
        <f t="shared" si="85"/>
        <v>472.00000000000006</v>
      </c>
      <c r="AI250" s="749"/>
      <c r="AJ250" s="749"/>
      <c r="AK250" s="984">
        <f>518.243-46.243</f>
        <v>472.00000000000006</v>
      </c>
      <c r="AL250" s="913"/>
      <c r="AM250" s="913"/>
      <c r="AN250" s="913"/>
      <c r="AO250" s="913"/>
      <c r="AP250" s="913"/>
      <c r="AQ250" s="913"/>
      <c r="AR250" s="913"/>
      <c r="AS250" s="913"/>
    </row>
    <row r="251" spans="1:45" ht="40.9" customHeight="1" x14ac:dyDescent="0.25">
      <c r="A251" s="151" t="s">
        <v>166</v>
      </c>
      <c r="B251" s="317" t="s">
        <v>246</v>
      </c>
      <c r="C251" s="152" t="s">
        <v>43</v>
      </c>
      <c r="D251" s="22">
        <f>E251+F251+G251</f>
        <v>218181.69999999998</v>
      </c>
      <c r="E251" s="22">
        <f>J251+N251+R251+V251+Z251+AD251+AI251</f>
        <v>0</v>
      </c>
      <c r="F251" s="22">
        <f>K251+O251+S251+W251+AA251+AE251+AJ251+AN251</f>
        <v>218181.69999999998</v>
      </c>
      <c r="G251" s="22">
        <f>L251+P251+T251+X251+AB251+AF251+AK251+AO251+AS251</f>
        <v>0</v>
      </c>
      <c r="H251" s="22"/>
      <c r="I251" s="800">
        <f>J251+K251+L251</f>
        <v>26855.3</v>
      </c>
      <c r="J251" s="800"/>
      <c r="K251" s="800">
        <v>26855.3</v>
      </c>
      <c r="L251" s="800"/>
      <c r="M251" s="800">
        <f t="shared" si="88"/>
        <v>24536.799999999999</v>
      </c>
      <c r="N251" s="800"/>
      <c r="O251" s="800">
        <v>24536.799999999999</v>
      </c>
      <c r="P251" s="800"/>
      <c r="Q251" s="818">
        <f>R251+S251+T251</f>
        <v>28078.3</v>
      </c>
      <c r="R251" s="818"/>
      <c r="S251" s="819">
        <v>28078.3</v>
      </c>
      <c r="T251" s="819"/>
      <c r="U251" s="819">
        <f>V251+W251+X251</f>
        <v>29248.799999999999</v>
      </c>
      <c r="V251" s="819"/>
      <c r="W251" s="800">
        <v>29248.799999999999</v>
      </c>
      <c r="X251" s="800">
        <v>0</v>
      </c>
      <c r="Y251" s="791">
        <f>Z251+AA251+AB251</f>
        <v>26037.100000000002</v>
      </c>
      <c r="Z251" s="791"/>
      <c r="AA251" s="791">
        <f>27766.2-1729.1</f>
        <v>26037.100000000002</v>
      </c>
      <c r="AB251" s="791"/>
      <c r="AC251" s="26">
        <f>AD251+AE251+AF251</f>
        <v>26869</v>
      </c>
      <c r="AD251" s="635"/>
      <c r="AE251" s="647">
        <f>27288.4-419.4</f>
        <v>26869</v>
      </c>
      <c r="AF251" s="635"/>
      <c r="AG251" s="635"/>
      <c r="AH251" s="749">
        <f t="shared" si="85"/>
        <v>27822.1</v>
      </c>
      <c r="AI251" s="825"/>
      <c r="AJ251" s="1527">
        <f>27594+228.1</f>
        <v>27822.1</v>
      </c>
      <c r="AK251" s="1528"/>
      <c r="AL251" s="1533">
        <f>AM251+AN251+AO251</f>
        <v>28734.3</v>
      </c>
      <c r="AM251" s="1533"/>
      <c r="AN251" s="1533">
        <v>28734.3</v>
      </c>
      <c r="AO251" s="1533"/>
      <c r="AP251" s="1533">
        <f>AQ251+AR251+AS251</f>
        <v>29874.5</v>
      </c>
      <c r="AQ251" s="1533"/>
      <c r="AR251" s="1533">
        <v>29874.5</v>
      </c>
      <c r="AS251" s="1533"/>
    </row>
    <row r="252" spans="1:45" ht="49.15" customHeight="1" x14ac:dyDescent="0.25">
      <c r="A252" s="141" t="s">
        <v>247</v>
      </c>
      <c r="B252" s="317" t="s">
        <v>296</v>
      </c>
      <c r="C252" s="922" t="s">
        <v>43</v>
      </c>
      <c r="D252" s="22">
        <f>E252+F252+G252</f>
        <v>31169.088920000002</v>
      </c>
      <c r="E252" s="22">
        <f>J252+N252+R252+V252+Z252+AD252+AI252+AM252</f>
        <v>0</v>
      </c>
      <c r="F252" s="22">
        <f>K252+O252+S252+W252+AA252+AE252+AJ252+AN252</f>
        <v>11181.4</v>
      </c>
      <c r="G252" s="22">
        <f>L252+P252+T252+X252+AB252+AF252+AK252+AO252+AS252</f>
        <v>19987.688920000001</v>
      </c>
      <c r="H252" s="22"/>
      <c r="I252" s="819">
        <f>J252+K252+L252</f>
        <v>3749.6</v>
      </c>
      <c r="J252" s="819"/>
      <c r="K252" s="819">
        <v>1154.5999999999999</v>
      </c>
      <c r="L252" s="819">
        <v>2595</v>
      </c>
      <c r="M252" s="819">
        <f t="shared" si="88"/>
        <v>3752.3</v>
      </c>
      <c r="N252" s="819"/>
      <c r="O252" s="819">
        <v>1302.3</v>
      </c>
      <c r="P252" s="819">
        <v>2450</v>
      </c>
      <c r="Q252" s="820">
        <f>R252+S252+T252</f>
        <v>3232.73684</v>
      </c>
      <c r="R252" s="821"/>
      <c r="S252" s="819">
        <v>1509.9</v>
      </c>
      <c r="T252" s="819">
        <v>1722.8368399999999</v>
      </c>
      <c r="U252" s="819">
        <f>V252+W252+X252</f>
        <v>3344.3</v>
      </c>
      <c r="V252" s="819"/>
      <c r="W252" s="800">
        <v>1549</v>
      </c>
      <c r="X252" s="800">
        <v>1795.3</v>
      </c>
      <c r="Y252" s="791">
        <f>Z252+AA252+AB252</f>
        <v>3379.12</v>
      </c>
      <c r="Z252" s="799"/>
      <c r="AA252" s="799">
        <v>1537.6</v>
      </c>
      <c r="AB252" s="799">
        <f>1996.6+22.02-200.9+23.8</f>
        <v>1841.5199999999998</v>
      </c>
      <c r="AC252" s="26">
        <f>AD252+AE252+AF252</f>
        <v>3687.7320799999998</v>
      </c>
      <c r="AD252" s="635"/>
      <c r="AE252" s="204">
        <v>1388.7</v>
      </c>
      <c r="AF252" s="624">
        <f>2428-28.56792-100.4</f>
        <v>2299.03208</v>
      </c>
      <c r="AG252" s="624"/>
      <c r="AH252" s="624">
        <f>AI252+AJ252+AK252</f>
        <v>3770.8</v>
      </c>
      <c r="AI252" s="646"/>
      <c r="AJ252" s="1529">
        <v>1342.8</v>
      </c>
      <c r="AK252" s="1530">
        <v>2428</v>
      </c>
      <c r="AL252" s="1533">
        <f>AM252+AN252+AO252</f>
        <v>3824.5</v>
      </c>
      <c r="AM252" s="1533"/>
      <c r="AN252" s="1533">
        <v>1396.5</v>
      </c>
      <c r="AO252" s="1533">
        <v>2428</v>
      </c>
      <c r="AP252" s="1533">
        <f>AQ252+AR252+AS252</f>
        <v>3880.4</v>
      </c>
      <c r="AQ252" s="1533"/>
      <c r="AR252" s="1533">
        <v>1452.4</v>
      </c>
      <c r="AS252" s="1533">
        <v>2428</v>
      </c>
    </row>
    <row r="253" spans="1:45" ht="29.25" customHeight="1" x14ac:dyDescent="0.25">
      <c r="A253" s="141" t="s">
        <v>637</v>
      </c>
      <c r="B253" s="317" t="s">
        <v>638</v>
      </c>
      <c r="C253" s="922" t="s">
        <v>43</v>
      </c>
      <c r="D253" s="22">
        <f>E253+F253+G253</f>
        <v>342</v>
      </c>
      <c r="E253" s="22">
        <f>J253+N253+R253+V253+Z253+AD253+AI253+AM253</f>
        <v>0</v>
      </c>
      <c r="F253" s="22">
        <f>K253+O253+S253+W253+AA253+AE253+AJ253+AN253</f>
        <v>0</v>
      </c>
      <c r="G253" s="22">
        <f>L253+P253+T253+X253+AB253+AF253+AK253+AO253+AS253</f>
        <v>342</v>
      </c>
      <c r="H253" s="22"/>
      <c r="I253" s="819"/>
      <c r="J253" s="819"/>
      <c r="K253" s="819"/>
      <c r="L253" s="819"/>
      <c r="M253" s="819"/>
      <c r="N253" s="819"/>
      <c r="O253" s="819"/>
      <c r="P253" s="819"/>
      <c r="Q253" s="820"/>
      <c r="R253" s="821"/>
      <c r="S253" s="819"/>
      <c r="T253" s="819"/>
      <c r="U253" s="819"/>
      <c r="V253" s="819"/>
      <c r="W253" s="1206"/>
      <c r="X253" s="1206"/>
      <c r="Y253" s="791">
        <f>Z253+AA253+AB253</f>
        <v>342</v>
      </c>
      <c r="Z253" s="861"/>
      <c r="AA253" s="861"/>
      <c r="AB253" s="863">
        <v>342</v>
      </c>
      <c r="AC253" s="26"/>
      <c r="AD253" s="635"/>
      <c r="AE253" s="260"/>
      <c r="AF253" s="624"/>
      <c r="AG253" s="624"/>
      <c r="AH253" s="646"/>
      <c r="AI253" s="646"/>
      <c r="AJ253" s="1221"/>
      <c r="AK253" s="1222"/>
      <c r="AL253" s="1223"/>
      <c r="AM253" s="1224"/>
      <c r="AN253" s="1224"/>
      <c r="AO253" s="1224"/>
      <c r="AP253" s="635"/>
      <c r="AQ253" s="913"/>
      <c r="AR253" s="913"/>
      <c r="AS253" s="913"/>
    </row>
    <row r="254" spans="1:45" ht="108" customHeight="1" x14ac:dyDescent="0.2">
      <c r="A254" s="923"/>
      <c r="B254" s="486" t="s">
        <v>673</v>
      </c>
      <c r="C254" s="82"/>
      <c r="D254" s="23">
        <f>E254+F254+G254</f>
        <v>205053.65289999999</v>
      </c>
      <c r="E254" s="23">
        <f>J254+N254+R254+V254+Z254+AD254+AI254+AM254</f>
        <v>82887.100000000006</v>
      </c>
      <c r="F254" s="23">
        <f>K254+O254+S254+W254+AA254+AE254+AJ254+AN254</f>
        <v>68204.932059999992</v>
      </c>
      <c r="G254" s="23">
        <f>L254+P254+T254+X254+AB254+AF254+AK254+AO254+AS254</f>
        <v>53961.620840000003</v>
      </c>
      <c r="H254" s="23"/>
      <c r="I254" s="788">
        <f>I255</f>
        <v>100</v>
      </c>
      <c r="J254" s="788"/>
      <c r="K254" s="788"/>
      <c r="L254" s="788">
        <f>L255</f>
        <v>100</v>
      </c>
      <c r="M254" s="788"/>
      <c r="N254" s="788"/>
      <c r="O254" s="788"/>
      <c r="P254" s="788"/>
      <c r="Q254" s="822"/>
      <c r="R254" s="823"/>
      <c r="S254" s="788"/>
      <c r="T254" s="788"/>
      <c r="U254" s="788"/>
      <c r="V254" s="788"/>
      <c r="W254" s="788"/>
      <c r="X254" s="788"/>
      <c r="Y254" s="788">
        <f>Z254+AA254+AB254</f>
        <v>165</v>
      </c>
      <c r="Z254" s="1207"/>
      <c r="AA254" s="1208"/>
      <c r="AB254" s="1198">
        <f>AB259</f>
        <v>165</v>
      </c>
      <c r="AC254" s="845">
        <f>AD254+AE254+AF254</f>
        <v>7541.4110599999995</v>
      </c>
      <c r="AD254" s="845">
        <f>AD255+AD259+AD261+AD265</f>
        <v>2979</v>
      </c>
      <c r="AE254" s="845">
        <f>AE255+AE259+AE261+AE265</f>
        <v>1610.03206</v>
      </c>
      <c r="AF254" s="845">
        <f>AF255+AF259+AF261+AF262+AF265+AF266</f>
        <v>2952.3789999999999</v>
      </c>
      <c r="AG254" s="845">
        <f>AG255+AG259+AG261</f>
        <v>673.4</v>
      </c>
      <c r="AH254" s="361">
        <f>AI254+AJ254+AK254</f>
        <v>88001.989579999994</v>
      </c>
      <c r="AI254" s="1538">
        <f>AI255+AI259+AI261+AI262+AI263+AI264+AI265+AI266+AI267</f>
        <v>42394</v>
      </c>
      <c r="AJ254" s="1537">
        <f>AJ255+AJ259+AJ261+AJ262+AJ263+AJ264+AJ265+AJ266+AJ267</f>
        <v>31835.4</v>
      </c>
      <c r="AK254" s="1537">
        <f>AK255+AK259+AK261+AK262+AK263+AK264+AK265+AK266+AK267</f>
        <v>13772.58958</v>
      </c>
      <c r="AL254" s="1225">
        <f>AM254+AN254+AO254</f>
        <v>109186.01000000001</v>
      </c>
      <c r="AM254" s="1225">
        <f>AM255+AM259+AM261+AM262+AM265+AM266+AM267</f>
        <v>37514.1</v>
      </c>
      <c r="AN254" s="1225">
        <f>AN255+AN259+AN261+AN262+AN265+AN266+AN267</f>
        <v>34759.5</v>
      </c>
      <c r="AO254" s="1486">
        <f>AO255+AO259+AO261+AO262+AO265+AO266+AO267</f>
        <v>36912.410000000003</v>
      </c>
      <c r="AP254" s="361">
        <f>AQ254+AR254+AS254</f>
        <v>1184.84509</v>
      </c>
      <c r="AQ254" s="1486">
        <f>AQ255+AQ259+AQ261+AQ262+AQ263+AQ264+AQ265+AQ266+AQ267</f>
        <v>1125.60283</v>
      </c>
      <c r="AR254" s="1225">
        <f>AR255+AR259+AR261+AR262+AR263+AR264+AR265+AR266+AR267</f>
        <v>0</v>
      </c>
      <c r="AS254" s="1486">
        <f>AS255+AS259+AS261+AS262+AS263+AS264+AS265+AS266+AS267</f>
        <v>59.242260000000002</v>
      </c>
    </row>
    <row r="255" spans="1:45" ht="63.6" customHeight="1" x14ac:dyDescent="0.2">
      <c r="A255" s="652"/>
      <c r="B255" s="653" t="s">
        <v>268</v>
      </c>
      <c r="C255" s="654"/>
      <c r="D255" s="648">
        <f>E255+F255+G255</f>
        <v>100</v>
      </c>
      <c r="E255" s="648">
        <f t="shared" ref="D255:L256" si="90">E256</f>
        <v>0</v>
      </c>
      <c r="F255" s="648">
        <f t="shared" si="90"/>
        <v>0</v>
      </c>
      <c r="G255" s="648">
        <f t="shared" si="90"/>
        <v>100</v>
      </c>
      <c r="H255" s="648"/>
      <c r="I255" s="790">
        <f t="shared" si="90"/>
        <v>100</v>
      </c>
      <c r="J255" s="790">
        <f t="shared" si="90"/>
        <v>0</v>
      </c>
      <c r="K255" s="790">
        <f t="shared" si="90"/>
        <v>0</v>
      </c>
      <c r="L255" s="790">
        <f t="shared" si="90"/>
        <v>100</v>
      </c>
      <c r="M255" s="790"/>
      <c r="N255" s="790"/>
      <c r="O255" s="790"/>
      <c r="P255" s="790"/>
      <c r="Q255" s="790">
        <f>R255+S255+T255</f>
        <v>0</v>
      </c>
      <c r="R255" s="790"/>
      <c r="S255" s="790"/>
      <c r="T255" s="790">
        <f>T256</f>
        <v>0</v>
      </c>
      <c r="U255" s="790">
        <f>V255+W255+X255</f>
        <v>0</v>
      </c>
      <c r="V255" s="790"/>
      <c r="W255" s="790"/>
      <c r="X255" s="790">
        <f>X256</f>
        <v>0</v>
      </c>
      <c r="Y255" s="790">
        <f>Z255+AA255+AB255</f>
        <v>0</v>
      </c>
      <c r="Z255" s="844"/>
      <c r="AA255" s="844"/>
      <c r="AB255" s="790">
        <f>AB256</f>
        <v>0</v>
      </c>
      <c r="AC255" s="648">
        <f>AD255+AE255+AF255</f>
        <v>0</v>
      </c>
      <c r="AD255" s="656"/>
      <c r="AE255" s="656"/>
      <c r="AF255" s="657">
        <f>AF256</f>
        <v>0</v>
      </c>
      <c r="AG255" s="657"/>
      <c r="AH255" s="827">
        <f>AI255+AJ255+AK255</f>
        <v>0</v>
      </c>
      <c r="AI255" s="1227">
        <f>AI256+AI257</f>
        <v>0</v>
      </c>
      <c r="AJ255" s="1227">
        <f>AJ256+AJ257</f>
        <v>0</v>
      </c>
      <c r="AK255" s="1227">
        <f>AK256+AK257</f>
        <v>0</v>
      </c>
      <c r="AL255" s="1226">
        <f>AM255+AN255+AO255</f>
        <v>0</v>
      </c>
      <c r="AM255" s="1228"/>
      <c r="AN255" s="1228"/>
      <c r="AO255" s="1228"/>
      <c r="AP255" s="827">
        <f>AQ255+AR255+AS255</f>
        <v>0</v>
      </c>
      <c r="AQ255" s="656"/>
      <c r="AR255" s="656"/>
      <c r="AS255" s="1227">
        <f>AS256+AS257</f>
        <v>0</v>
      </c>
    </row>
    <row r="256" spans="1:45" ht="60.75" x14ac:dyDescent="0.25">
      <c r="A256" s="232" t="s">
        <v>193</v>
      </c>
      <c r="B256" s="71" t="s">
        <v>248</v>
      </c>
      <c r="C256" s="102" t="s">
        <v>43</v>
      </c>
      <c r="D256" s="26">
        <f t="shared" si="90"/>
        <v>100</v>
      </c>
      <c r="E256" s="26">
        <f t="shared" si="90"/>
        <v>0</v>
      </c>
      <c r="F256" s="26">
        <f t="shared" si="90"/>
        <v>0</v>
      </c>
      <c r="G256" s="26">
        <f t="shared" si="90"/>
        <v>100</v>
      </c>
      <c r="H256" s="26"/>
      <c r="I256" s="791">
        <f t="shared" si="90"/>
        <v>100</v>
      </c>
      <c r="J256" s="791">
        <f t="shared" si="90"/>
        <v>0</v>
      </c>
      <c r="K256" s="791">
        <f t="shared" si="90"/>
        <v>0</v>
      </c>
      <c r="L256" s="791">
        <f>L257</f>
        <v>100</v>
      </c>
      <c r="M256" s="791"/>
      <c r="N256" s="791"/>
      <c r="O256" s="791"/>
      <c r="P256" s="791"/>
      <c r="Q256" s="791"/>
      <c r="R256" s="791"/>
      <c r="S256" s="791"/>
      <c r="T256" s="791"/>
      <c r="U256" s="791"/>
      <c r="V256" s="791"/>
      <c r="W256" s="791"/>
      <c r="X256" s="791"/>
      <c r="Y256" s="861"/>
      <c r="Z256" s="861"/>
      <c r="AA256" s="861"/>
      <c r="AB256" s="861"/>
      <c r="AC256" s="623"/>
      <c r="AD256" s="635"/>
      <c r="AE256" s="635"/>
      <c r="AF256" s="635"/>
      <c r="AG256" s="635"/>
      <c r="AH256" s="825">
        <f>AI256+AJ256+AK256</f>
        <v>0</v>
      </c>
      <c r="AI256" s="825"/>
      <c r="AJ256" s="825"/>
      <c r="AK256" s="987"/>
      <c r="AL256" s="825">
        <f>AM256+AN256+AO256</f>
        <v>0</v>
      </c>
      <c r="AM256" s="913"/>
      <c r="AN256" s="913"/>
      <c r="AO256" s="913"/>
      <c r="AP256" s="825">
        <f>AQ256+AR256+AS256</f>
        <v>0</v>
      </c>
      <c r="AQ256" s="913"/>
      <c r="AR256" s="913"/>
      <c r="AS256" s="913"/>
    </row>
    <row r="257" spans="1:45" ht="35.450000000000003" customHeight="1" x14ac:dyDescent="0.25">
      <c r="A257" s="198" t="s">
        <v>233</v>
      </c>
      <c r="B257" s="71"/>
      <c r="C257" s="71" t="s">
        <v>16</v>
      </c>
      <c r="D257" s="26">
        <f t="shared" ref="D257:D267" si="91">E257+F257+G257</f>
        <v>100</v>
      </c>
      <c r="E257" s="26">
        <f>J257+N257+R257+V257+Z257</f>
        <v>0</v>
      </c>
      <c r="F257" s="26">
        <f>K257+O257+S257+W257+AA257</f>
        <v>0</v>
      </c>
      <c r="G257" s="26">
        <f>L257+P257+T257+X257+AB257+AF257+AK257+AO257+AS257</f>
        <v>100</v>
      </c>
      <c r="H257" s="26"/>
      <c r="I257" s="791">
        <f>J257+K257+L257</f>
        <v>100</v>
      </c>
      <c r="J257" s="791"/>
      <c r="K257" s="791"/>
      <c r="L257" s="791">
        <v>100</v>
      </c>
      <c r="M257" s="791"/>
      <c r="N257" s="791"/>
      <c r="O257" s="802"/>
      <c r="P257" s="802"/>
      <c r="Q257" s="802"/>
      <c r="R257" s="802"/>
      <c r="S257" s="791"/>
      <c r="T257" s="791"/>
      <c r="U257" s="791"/>
      <c r="V257" s="791"/>
      <c r="W257" s="791"/>
      <c r="X257" s="791"/>
      <c r="Y257" s="861"/>
      <c r="Z257" s="861"/>
      <c r="AA257" s="861"/>
      <c r="AB257" s="861"/>
      <c r="AC257" s="623"/>
      <c r="AD257" s="635"/>
      <c r="AE257" s="635"/>
      <c r="AF257" s="635"/>
      <c r="AG257" s="635"/>
      <c r="AH257" s="825">
        <f>AI257+AJ257+AK257</f>
        <v>0</v>
      </c>
      <c r="AI257" s="825"/>
      <c r="AJ257" s="825"/>
      <c r="AK257" s="987"/>
      <c r="AL257" s="913"/>
      <c r="AM257" s="913"/>
      <c r="AN257" s="913"/>
      <c r="AO257" s="913"/>
      <c r="AP257" s="913"/>
      <c r="AQ257" s="913"/>
      <c r="AR257" s="913"/>
      <c r="AS257" s="913"/>
    </row>
    <row r="258" spans="1:45" ht="58.15" hidden="1" customHeight="1" x14ac:dyDescent="0.25">
      <c r="A258" s="155"/>
      <c r="B258" s="156"/>
      <c r="C258" s="156"/>
      <c r="D258" s="26">
        <f t="shared" si="91"/>
        <v>0</v>
      </c>
      <c r="E258" s="206"/>
      <c r="F258" s="206"/>
      <c r="G258" s="26">
        <f>L258+P258+T258+X258+AB258</f>
        <v>0</v>
      </c>
      <c r="H258" s="1053"/>
      <c r="I258" s="206"/>
      <c r="J258" s="206"/>
      <c r="K258" s="206"/>
      <c r="L258" s="207"/>
      <c r="M258" s="207"/>
      <c r="N258" s="207"/>
      <c r="O258" s="207"/>
      <c r="P258" s="207"/>
      <c r="Q258" s="207"/>
      <c r="R258" s="207"/>
      <c r="S258" s="207"/>
      <c r="T258" s="207"/>
      <c r="U258" s="1209"/>
      <c r="V258" s="1209"/>
      <c r="W258" s="1209"/>
      <c r="X258" s="1209"/>
      <c r="Y258" s="1196"/>
      <c r="Z258" s="1196"/>
      <c r="AA258" s="1196"/>
      <c r="AB258" s="1196"/>
      <c r="AH258" s="826"/>
      <c r="AI258" s="826"/>
      <c r="AJ258" s="826"/>
      <c r="AK258" s="826"/>
      <c r="AL258" s="913"/>
      <c r="AM258" s="913"/>
      <c r="AN258" s="913"/>
      <c r="AO258" s="913"/>
      <c r="AP258" s="913"/>
      <c r="AQ258" s="913"/>
      <c r="AR258" s="913"/>
      <c r="AS258" s="913"/>
    </row>
    <row r="259" spans="1:45" ht="58.15" customHeight="1" x14ac:dyDescent="0.2">
      <c r="A259" s="1110" t="s">
        <v>235</v>
      </c>
      <c r="B259" s="1117" t="s">
        <v>646</v>
      </c>
      <c r="C259" s="1119"/>
      <c r="D259" s="1120">
        <f t="shared" si="91"/>
        <v>165</v>
      </c>
      <c r="E259" s="1121"/>
      <c r="F259" s="1121"/>
      <c r="G259" s="1120">
        <f t="shared" ref="G259:G267" si="92">L259+P259+T259+X259+AB259+AF259+AK259+AO259+AS259</f>
        <v>165</v>
      </c>
      <c r="H259" s="1120"/>
      <c r="I259" s="1122"/>
      <c r="J259" s="1122"/>
      <c r="K259" s="1122"/>
      <c r="L259" s="1122"/>
      <c r="M259" s="1122"/>
      <c r="N259" s="1122"/>
      <c r="O259" s="1122"/>
      <c r="P259" s="1122"/>
      <c r="Q259" s="1122"/>
      <c r="R259" s="1122"/>
      <c r="S259" s="1122"/>
      <c r="T259" s="1122"/>
      <c r="U259" s="1210"/>
      <c r="V259" s="1211"/>
      <c r="W259" s="1211"/>
      <c r="X259" s="1211"/>
      <c r="Y259" s="1213">
        <f>Z259+AA259+AB259</f>
        <v>165</v>
      </c>
      <c r="Z259" s="1213"/>
      <c r="AA259" s="1213"/>
      <c r="AB259" s="1213">
        <f>AB260</f>
        <v>165</v>
      </c>
      <c r="AC259" s="1123"/>
      <c r="AD259" s="1123"/>
      <c r="AE259" s="1123"/>
      <c r="AF259" s="1123"/>
      <c r="AG259" s="1123"/>
      <c r="AH259" s="1123"/>
      <c r="AI259" s="1123"/>
      <c r="AJ259" s="1123"/>
      <c r="AK259" s="1124"/>
      <c r="AL259" s="1104"/>
      <c r="AM259" s="1104"/>
      <c r="AN259" s="1104"/>
      <c r="AO259" s="1104"/>
      <c r="AP259" s="1104"/>
      <c r="AQ259" s="1104"/>
      <c r="AR259" s="1104"/>
      <c r="AS259" s="1104"/>
    </row>
    <row r="260" spans="1:45" ht="51" x14ac:dyDescent="0.2">
      <c r="A260" s="1010" t="s">
        <v>263</v>
      </c>
      <c r="B260" s="331" t="s">
        <v>647</v>
      </c>
      <c r="C260" s="331" t="s">
        <v>645</v>
      </c>
      <c r="D260" s="912">
        <f t="shared" si="91"/>
        <v>165</v>
      </c>
      <c r="E260" s="1011"/>
      <c r="F260" s="1011"/>
      <c r="G260" s="912">
        <f t="shared" si="92"/>
        <v>165</v>
      </c>
      <c r="H260" s="912"/>
      <c r="I260" s="1011"/>
      <c r="J260" s="1011"/>
      <c r="K260" s="1011"/>
      <c r="L260" s="1012"/>
      <c r="M260" s="1012"/>
      <c r="N260" s="1012"/>
      <c r="O260" s="1012"/>
      <c r="P260" s="1012"/>
      <c r="Q260" s="1012"/>
      <c r="R260" s="1012"/>
      <c r="S260" s="1012"/>
      <c r="T260" s="1012"/>
      <c r="U260" s="856"/>
      <c r="V260" s="856"/>
      <c r="W260" s="856"/>
      <c r="X260" s="856"/>
      <c r="Y260" s="1214">
        <f>Z260+AA260+AB260</f>
        <v>165</v>
      </c>
      <c r="Z260" s="1214"/>
      <c r="AA260" s="1214"/>
      <c r="AB260" s="1214">
        <v>165</v>
      </c>
      <c r="AC260" s="830">
        <f>AD260+AE260+AF260</f>
        <v>0</v>
      </c>
      <c r="AD260" s="625"/>
      <c r="AE260" s="625"/>
      <c r="AF260" s="625"/>
      <c r="AG260" s="625"/>
      <c r="AH260" s="625">
        <f t="shared" ref="AH260:AH266" si="93">AI260+AJ260+AK260</f>
        <v>0</v>
      </c>
      <c r="AI260" s="625"/>
      <c r="AJ260" s="625"/>
      <c r="AK260" s="1013"/>
      <c r="AL260" s="625">
        <f>AM260+AN260+AO260</f>
        <v>0</v>
      </c>
      <c r="AM260" s="913"/>
      <c r="AN260" s="913"/>
      <c r="AO260" s="913"/>
      <c r="AP260" s="625">
        <f>AQ260+AR260+AS260</f>
        <v>0</v>
      </c>
      <c r="AQ260" s="913"/>
      <c r="AR260" s="913"/>
      <c r="AS260" s="913"/>
    </row>
    <row r="261" spans="1:45" ht="67.5" customHeight="1" x14ac:dyDescent="0.2">
      <c r="A261" s="1110" t="s">
        <v>455</v>
      </c>
      <c r="B261" s="1111" t="s">
        <v>672</v>
      </c>
      <c r="C261" s="1112" t="s">
        <v>463</v>
      </c>
      <c r="D261" s="1113">
        <f>E261+F261+G261+H261</f>
        <v>2898.8320600000002</v>
      </c>
      <c r="E261" s="1104"/>
      <c r="F261" s="1113">
        <f>K261+O261+S261+W261+AA261+AE261+AJ261+AN261</f>
        <v>1610.03206</v>
      </c>
      <c r="G261" s="1113">
        <f t="shared" si="92"/>
        <v>615.4</v>
      </c>
      <c r="H261" s="1113">
        <f>AG261</f>
        <v>673.4</v>
      </c>
      <c r="I261" s="1104"/>
      <c r="J261" s="1104"/>
      <c r="K261" s="1104"/>
      <c r="L261" s="1114"/>
      <c r="M261" s="1114"/>
      <c r="N261" s="1114"/>
      <c r="O261" s="1114"/>
      <c r="P261" s="1114"/>
      <c r="Q261" s="1114"/>
      <c r="R261" s="1114"/>
      <c r="S261" s="1114"/>
      <c r="T261" s="1114"/>
      <c r="U261" s="1215"/>
      <c r="V261" s="1215"/>
      <c r="W261" s="1215"/>
      <c r="X261" s="1215"/>
      <c r="Y261" s="1216"/>
      <c r="Z261" s="1216"/>
      <c r="AA261" s="1216"/>
      <c r="AB261" s="1216"/>
      <c r="AC261" s="1123">
        <f>AD261+AE261+AF261+AG261</f>
        <v>2898.8320600000002</v>
      </c>
      <c r="AD261" s="1454"/>
      <c r="AE261" s="1133">
        <f>2000-389.96794</f>
        <v>1610.03206</v>
      </c>
      <c r="AF261" s="1133">
        <v>615.4</v>
      </c>
      <c r="AG261" s="1137">
        <v>673.4</v>
      </c>
      <c r="AH261" s="1123">
        <f t="shared" si="93"/>
        <v>0</v>
      </c>
      <c r="AI261" s="1123"/>
      <c r="AJ261" s="1123"/>
      <c r="AK261" s="1123">
        <v>0</v>
      </c>
      <c r="AL261" s="1123">
        <f>AM261+AN261+AO261</f>
        <v>0</v>
      </c>
      <c r="AM261" s="1123"/>
      <c r="AN261" s="1123"/>
      <c r="AO261" s="1123"/>
      <c r="AP261" s="1123">
        <f t="shared" ref="AP261:AP267" si="94">AQ261+AR261+AS261</f>
        <v>0</v>
      </c>
      <c r="AQ261" s="1123"/>
      <c r="AR261" s="1123"/>
      <c r="AS261" s="1123"/>
    </row>
    <row r="262" spans="1:45" ht="67.5" customHeight="1" x14ac:dyDescent="0.2">
      <c r="A262" s="1115" t="s">
        <v>555</v>
      </c>
      <c r="B262" s="1116" t="s">
        <v>739</v>
      </c>
      <c r="C262" s="1112" t="s">
        <v>322</v>
      </c>
      <c r="D262" s="1120">
        <f>E262+F262+G262+H262</f>
        <v>3378.1889999999999</v>
      </c>
      <c r="E262" s="1103"/>
      <c r="F262" s="1120">
        <f>K262+O262+S262+W262+AA262+AE262+AJ262+AN262</f>
        <v>0</v>
      </c>
      <c r="G262" s="1120">
        <f t="shared" si="92"/>
        <v>3378.1889999999999</v>
      </c>
      <c r="H262" s="1113"/>
      <c r="I262" s="1104"/>
      <c r="J262" s="1104"/>
      <c r="K262" s="1104"/>
      <c r="L262" s="1114"/>
      <c r="M262" s="1114"/>
      <c r="N262" s="1114"/>
      <c r="O262" s="1114"/>
      <c r="P262" s="1114"/>
      <c r="Q262" s="1114"/>
      <c r="R262" s="1114"/>
      <c r="S262" s="1114"/>
      <c r="T262" s="1114"/>
      <c r="U262" s="1215"/>
      <c r="V262" s="1215"/>
      <c r="W262" s="1215"/>
      <c r="X262" s="1215"/>
      <c r="Y262" s="1216"/>
      <c r="Z262" s="1216"/>
      <c r="AA262" s="1216"/>
      <c r="AB262" s="1216"/>
      <c r="AC262" s="1123">
        <f>AD262+AE262+AF262+AG262</f>
        <v>1590.1889999999999</v>
      </c>
      <c r="AD262" s="1455"/>
      <c r="AE262" s="1133"/>
      <c r="AF262" s="1135">
        <f>2077.642-243.693-243.76</f>
        <v>1590.1889999999999</v>
      </c>
      <c r="AG262" s="1134"/>
      <c r="AH262" s="1123">
        <f t="shared" si="93"/>
        <v>1788</v>
      </c>
      <c r="AI262" s="1123"/>
      <c r="AJ262" s="1123"/>
      <c r="AK262" s="1123">
        <v>1788</v>
      </c>
      <c r="AL262" s="1123">
        <f>AM262+AN262+AO262</f>
        <v>0</v>
      </c>
      <c r="AM262" s="1123"/>
      <c r="AN262" s="1123"/>
      <c r="AO262" s="1123"/>
      <c r="AP262" s="1123">
        <f t="shared" si="94"/>
        <v>0</v>
      </c>
      <c r="AQ262" s="1123"/>
      <c r="AR262" s="1123"/>
      <c r="AS262" s="1123"/>
    </row>
    <row r="263" spans="1:45" ht="67.5" customHeight="1" thickBot="1" x14ac:dyDescent="0.25">
      <c r="A263" s="1502" t="s">
        <v>711</v>
      </c>
      <c r="B263" s="1503" t="s">
        <v>781</v>
      </c>
      <c r="C263" s="1504"/>
      <c r="D263" s="1505">
        <f t="shared" ref="D263:D265" si="95">E263+F263+G263+H263</f>
        <v>7108</v>
      </c>
      <c r="E263" s="1505">
        <f>J263+N263+R263+V263+Z263+AD263+AI263+AM263+AQ263</f>
        <v>0</v>
      </c>
      <c r="F263" s="1505">
        <f>K263+O263+S263+W263+AA263+AE263+AJ263+AN263+AR263</f>
        <v>0</v>
      </c>
      <c r="G263" s="1505">
        <f t="shared" si="92"/>
        <v>7108</v>
      </c>
      <c r="H263" s="1506"/>
      <c r="I263" s="1507"/>
      <c r="J263" s="1507"/>
      <c r="K263" s="1507"/>
      <c r="L263" s="1508"/>
      <c r="M263" s="1508"/>
      <c r="N263" s="1508"/>
      <c r="O263" s="1508"/>
      <c r="P263" s="1508"/>
      <c r="Q263" s="1508"/>
      <c r="R263" s="1508"/>
      <c r="S263" s="1508"/>
      <c r="T263" s="1508"/>
      <c r="U263" s="1509"/>
      <c r="V263" s="1509"/>
      <c r="W263" s="1509"/>
      <c r="X263" s="1509"/>
      <c r="Y263" s="1510"/>
      <c r="Z263" s="1510"/>
      <c r="AA263" s="1510"/>
      <c r="AB263" s="1510"/>
      <c r="AC263" s="1511"/>
      <c r="AD263" s="1512"/>
      <c r="AE263" s="1513"/>
      <c r="AF263" s="1514"/>
      <c r="AG263" s="1515"/>
      <c r="AH263" s="1511">
        <f t="shared" si="93"/>
        <v>7108</v>
      </c>
      <c r="AI263" s="1511"/>
      <c r="AJ263" s="1511"/>
      <c r="AK263" s="1511">
        <v>7108</v>
      </c>
      <c r="AL263" s="1511"/>
      <c r="AM263" s="1511"/>
      <c r="AN263" s="1511"/>
      <c r="AO263" s="1511"/>
      <c r="AP263" s="1511">
        <f t="shared" si="94"/>
        <v>0</v>
      </c>
      <c r="AQ263" s="1511"/>
      <c r="AR263" s="1511"/>
      <c r="AS263" s="1511"/>
    </row>
    <row r="264" spans="1:45" ht="181.5" customHeight="1" x14ac:dyDescent="0.2">
      <c r="A264" s="1487" t="s">
        <v>774</v>
      </c>
      <c r="B264" s="1488" t="s">
        <v>780</v>
      </c>
      <c r="C264" s="1489" t="s">
        <v>43</v>
      </c>
      <c r="D264" s="1490">
        <f t="shared" si="95"/>
        <v>4712.4226699999999</v>
      </c>
      <c r="E264" s="1490">
        <f>J264+N264+R264+V264+Z264+AD264+AI264+AM264+AQ264</f>
        <v>4476.8028299999996</v>
      </c>
      <c r="F264" s="1490">
        <f>K264+O264+S264+W264+AA264+AE264+AJ264+AN264+AR264</f>
        <v>0</v>
      </c>
      <c r="G264" s="1490">
        <f t="shared" si="92"/>
        <v>235.61984000000001</v>
      </c>
      <c r="H264" s="1491"/>
      <c r="I264" s="1492"/>
      <c r="J264" s="1492"/>
      <c r="K264" s="1492"/>
      <c r="L264" s="1493"/>
      <c r="M264" s="1493"/>
      <c r="N264" s="1493"/>
      <c r="O264" s="1493"/>
      <c r="P264" s="1493"/>
      <c r="Q264" s="1493"/>
      <c r="R264" s="1493"/>
      <c r="S264" s="1493"/>
      <c r="T264" s="1493"/>
      <c r="U264" s="1494"/>
      <c r="V264" s="1494"/>
      <c r="W264" s="1494"/>
      <c r="X264" s="1494"/>
      <c r="Y264" s="1495"/>
      <c r="Z264" s="1495"/>
      <c r="AA264" s="1495"/>
      <c r="AB264" s="1495"/>
      <c r="AC264" s="1496"/>
      <c r="AD264" s="1497"/>
      <c r="AE264" s="1498"/>
      <c r="AF264" s="1499"/>
      <c r="AG264" s="1500"/>
      <c r="AH264" s="1496">
        <f t="shared" si="93"/>
        <v>3527.5775799999997</v>
      </c>
      <c r="AI264" s="1501">
        <v>3351.2</v>
      </c>
      <c r="AJ264" s="1496"/>
      <c r="AK264" s="1496">
        <f>117.5851+58.79248</f>
        <v>176.37757999999999</v>
      </c>
      <c r="AL264" s="1496"/>
      <c r="AM264" s="1496"/>
      <c r="AN264" s="1496"/>
      <c r="AO264" s="1496"/>
      <c r="AP264" s="1496">
        <f t="shared" si="94"/>
        <v>1184.84509</v>
      </c>
      <c r="AQ264" s="1496">
        <v>1125.60283</v>
      </c>
      <c r="AR264" s="1496"/>
      <c r="AS264" s="1496">
        <v>59.242260000000002</v>
      </c>
    </row>
    <row r="265" spans="1:45" ht="65.25" customHeight="1" x14ac:dyDescent="0.25">
      <c r="A265" s="1456" t="s">
        <v>775</v>
      </c>
      <c r="B265" s="1125" t="s">
        <v>671</v>
      </c>
      <c r="C265" s="1118" t="s">
        <v>321</v>
      </c>
      <c r="D265" s="1120">
        <f t="shared" si="95"/>
        <v>4648.1900000000005</v>
      </c>
      <c r="E265" s="1120">
        <f>J265+N265+R265+V265+Z265+AD265+AI265+AM265</f>
        <v>4415.8</v>
      </c>
      <c r="F265" s="1120">
        <f>K265+O265+S265+W265+AA265+AE265+AJ265+AN265</f>
        <v>0</v>
      </c>
      <c r="G265" s="1130">
        <f t="shared" si="92"/>
        <v>232.39000000000001</v>
      </c>
      <c r="H265" s="1126"/>
      <c r="I265" s="1127"/>
      <c r="J265" s="1127"/>
      <c r="K265" s="1127"/>
      <c r="L265" s="1128"/>
      <c r="M265" s="1128"/>
      <c r="N265" s="1128"/>
      <c r="O265" s="1128"/>
      <c r="P265" s="1128"/>
      <c r="Q265" s="1128"/>
      <c r="R265" s="1128"/>
      <c r="S265" s="1128"/>
      <c r="T265" s="1128"/>
      <c r="U265" s="1217"/>
      <c r="V265" s="1217"/>
      <c r="W265" s="1217"/>
      <c r="X265" s="1217"/>
      <c r="Y265" s="1218"/>
      <c r="Z265" s="1218"/>
      <c r="AA265" s="1218"/>
      <c r="AB265" s="1218"/>
      <c r="AC265" s="1131">
        <f>AD265+AE265+AF265</f>
        <v>3135.79</v>
      </c>
      <c r="AD265" s="1131">
        <v>2979</v>
      </c>
      <c r="AE265" s="1131"/>
      <c r="AF265" s="1131">
        <f>198.3-41.51</f>
        <v>156.79000000000002</v>
      </c>
      <c r="AG265" s="1136"/>
      <c r="AH265" s="1131">
        <v>1512.5</v>
      </c>
      <c r="AI265" s="1132">
        <v>1436.8</v>
      </c>
      <c r="AJ265" s="1132">
        <v>0</v>
      </c>
      <c r="AK265" s="1132">
        <v>75.599999999999994</v>
      </c>
      <c r="AL265" s="1123">
        <f>AM265+AN265+AO265</f>
        <v>0</v>
      </c>
      <c r="AM265" s="1133"/>
      <c r="AN265" s="1133"/>
      <c r="AO265" s="1133"/>
      <c r="AP265" s="1123">
        <f t="shared" si="94"/>
        <v>0</v>
      </c>
      <c r="AQ265" s="1133"/>
      <c r="AR265" s="1133"/>
      <c r="AS265" s="1133"/>
    </row>
    <row r="266" spans="1:45" ht="169.5" customHeight="1" x14ac:dyDescent="0.2">
      <c r="A266" s="1103" t="s">
        <v>776</v>
      </c>
      <c r="B266" s="1129" t="s">
        <v>779</v>
      </c>
      <c r="C266" s="1437" t="s">
        <v>651</v>
      </c>
      <c r="D266" s="1130">
        <f t="shared" si="91"/>
        <v>108721.92199999999</v>
      </c>
      <c r="E266" s="1103"/>
      <c r="F266" s="1120">
        <f>K266+O266+S266+W266+AA266+AE266+AJ266+AN266</f>
        <v>66594.899999999994</v>
      </c>
      <c r="G266" s="1130">
        <f t="shared" si="92"/>
        <v>42127.022000000004</v>
      </c>
      <c r="H266" s="1103"/>
      <c r="I266" s="1103"/>
      <c r="J266" s="1103"/>
      <c r="K266" s="1103"/>
      <c r="L266" s="1108"/>
      <c r="M266" s="1108"/>
      <c r="N266" s="1108"/>
      <c r="O266" s="1108"/>
      <c r="P266" s="1108"/>
      <c r="Q266" s="1108"/>
      <c r="R266" s="1108"/>
      <c r="S266" s="1108"/>
      <c r="T266" s="1108"/>
      <c r="U266" s="1219"/>
      <c r="V266" s="1219"/>
      <c r="W266" s="1219"/>
      <c r="X266" s="1219"/>
      <c r="Y266" s="1212"/>
      <c r="Z266" s="1212"/>
      <c r="AA266" s="1212"/>
      <c r="AB266" s="1212"/>
      <c r="AC266" s="1132">
        <f>AD266+AE266+AF266</f>
        <v>590</v>
      </c>
      <c r="AD266" s="1133"/>
      <c r="AE266" s="1133"/>
      <c r="AF266" s="1133">
        <f>AF267</f>
        <v>590</v>
      </c>
      <c r="AG266" s="1137"/>
      <c r="AH266" s="1132">
        <f t="shared" si="93"/>
        <v>74066.011999999988</v>
      </c>
      <c r="AI266" s="1133">
        <v>37606</v>
      </c>
      <c r="AJ266" s="1133">
        <v>31835.4</v>
      </c>
      <c r="AK266" s="1132">
        <v>4624.6120000000001</v>
      </c>
      <c r="AL266" s="1123">
        <f>AM266+AN266+AO266</f>
        <v>109186.01000000001</v>
      </c>
      <c r="AM266" s="1133">
        <v>37514.1</v>
      </c>
      <c r="AN266" s="1133">
        <v>34759.5</v>
      </c>
      <c r="AO266" s="1573">
        <f>4188.71+32723.7</f>
        <v>36912.410000000003</v>
      </c>
      <c r="AP266" s="1133">
        <f t="shared" si="94"/>
        <v>0</v>
      </c>
      <c r="AQ266" s="1137"/>
      <c r="AR266" s="1137"/>
      <c r="AS266" s="1137"/>
    </row>
    <row r="267" spans="1:45" ht="20.25" customHeight="1" x14ac:dyDescent="0.25">
      <c r="A267" s="913"/>
      <c r="B267" s="92"/>
      <c r="C267" s="354"/>
      <c r="D267" s="911">
        <f t="shared" si="91"/>
        <v>590</v>
      </c>
      <c r="E267" s="399"/>
      <c r="F267" s="399"/>
      <c r="G267" s="911">
        <f t="shared" si="92"/>
        <v>590</v>
      </c>
      <c r="H267" s="913"/>
      <c r="I267" s="913"/>
      <c r="J267" s="913"/>
      <c r="K267" s="913"/>
      <c r="L267" s="369"/>
      <c r="M267" s="369"/>
      <c r="N267" s="369"/>
      <c r="O267" s="363"/>
      <c r="P267" s="363"/>
      <c r="Q267" s="363"/>
      <c r="R267" s="363"/>
      <c r="S267" s="363"/>
      <c r="T267" s="363"/>
      <c r="U267" s="843"/>
      <c r="V267" s="843"/>
      <c r="W267" s="843"/>
      <c r="X267" s="843"/>
      <c r="Y267" s="860"/>
      <c r="Z267" s="860"/>
      <c r="AA267" s="860"/>
      <c r="AB267" s="860"/>
      <c r="AC267" s="830">
        <f>AD267+AE267+AF267</f>
        <v>590</v>
      </c>
      <c r="AD267" s="625"/>
      <c r="AE267" s="625"/>
      <c r="AF267" s="1459">
        <v>590</v>
      </c>
      <c r="AG267" s="468"/>
      <c r="AH267" s="830"/>
      <c r="AI267" s="625"/>
      <c r="AJ267" s="170"/>
      <c r="AK267" s="170"/>
      <c r="AL267" s="625"/>
      <c r="AM267" s="625"/>
      <c r="AN267" s="625"/>
      <c r="AO267" s="625"/>
      <c r="AP267" s="625">
        <f t="shared" si="94"/>
        <v>0</v>
      </c>
      <c r="AQ267" s="468"/>
      <c r="AR267" s="468"/>
      <c r="AS267" s="468"/>
    </row>
    <row r="268" spans="1:45" ht="15" x14ac:dyDescent="0.25">
      <c r="A268" s="77"/>
      <c r="C268" s="157"/>
      <c r="D268" s="375"/>
      <c r="E268" s="375"/>
      <c r="F268" s="375"/>
      <c r="G268" s="375"/>
      <c r="H268" s="375"/>
      <c r="I268" s="375"/>
      <c r="J268" s="375"/>
      <c r="K268" s="375"/>
      <c r="L268" s="926"/>
      <c r="M268" s="926"/>
      <c r="N268" s="926"/>
      <c r="O268" s="925"/>
      <c r="P268" s="925"/>
      <c r="Q268" s="925"/>
      <c r="R268" s="925"/>
      <c r="S268" s="925"/>
      <c r="T268" s="925"/>
      <c r="U268" s="925"/>
      <c r="V268" s="925"/>
      <c r="W268" s="925"/>
      <c r="X268" s="925"/>
      <c r="Y268" s="4"/>
      <c r="Z268" s="4"/>
      <c r="AA268" s="4"/>
      <c r="AB268" s="4"/>
    </row>
    <row r="269" spans="1:45" ht="15" x14ac:dyDescent="0.25">
      <c r="A269" s="77"/>
      <c r="D269" s="375"/>
      <c r="E269" s="375"/>
      <c r="F269" s="375"/>
      <c r="G269" s="375"/>
      <c r="H269" s="375"/>
      <c r="I269" s="375"/>
      <c r="J269" s="375"/>
      <c r="K269" s="375"/>
      <c r="L269" s="927"/>
      <c r="M269" s="927"/>
      <c r="N269" s="927"/>
      <c r="O269" s="924"/>
      <c r="P269" s="924"/>
      <c r="Q269" s="924"/>
      <c r="R269" s="924"/>
      <c r="S269" s="924"/>
      <c r="T269" s="924"/>
      <c r="U269" s="924"/>
      <c r="V269" s="924"/>
      <c r="W269" s="924"/>
      <c r="X269" s="924"/>
      <c r="Y269" s="4"/>
      <c r="Z269" s="4"/>
      <c r="AA269" s="4"/>
      <c r="AB269" s="4"/>
    </row>
    <row r="270" spans="1:45" ht="15" x14ac:dyDescent="0.25">
      <c r="A270" s="77"/>
      <c r="D270" s="375"/>
      <c r="E270" s="375"/>
      <c r="F270" s="375"/>
      <c r="G270" s="375"/>
      <c r="H270" s="375"/>
      <c r="I270" s="375"/>
      <c r="J270" s="375"/>
      <c r="K270" s="375"/>
      <c r="L270" s="927"/>
      <c r="M270" s="927"/>
      <c r="N270" s="927"/>
      <c r="O270" s="924"/>
      <c r="P270" s="924"/>
      <c r="Q270" s="924"/>
      <c r="R270" s="924"/>
      <c r="S270" s="924"/>
      <c r="T270" s="924"/>
      <c r="U270" s="924"/>
      <c r="V270" s="924"/>
      <c r="W270" s="924"/>
      <c r="X270" s="924"/>
      <c r="Y270" s="4"/>
      <c r="Z270" s="4"/>
      <c r="AA270" s="4"/>
      <c r="AB270" s="4"/>
    </row>
    <row r="271" spans="1:45" ht="15" x14ac:dyDescent="0.25">
      <c r="A271" s="77"/>
      <c r="D271" s="375"/>
      <c r="E271" s="375"/>
      <c r="F271" s="375"/>
      <c r="G271" s="375"/>
      <c r="H271" s="375"/>
      <c r="I271" s="375"/>
      <c r="J271" s="375"/>
      <c r="K271" s="375"/>
      <c r="L271" s="927"/>
      <c r="M271" s="927"/>
      <c r="N271" s="927"/>
      <c r="O271" s="924"/>
      <c r="P271" s="924"/>
      <c r="Q271" s="924"/>
      <c r="R271" s="924"/>
      <c r="S271" s="924"/>
      <c r="T271" s="924"/>
      <c r="U271" s="924"/>
      <c r="V271" s="924"/>
      <c r="W271" s="924"/>
      <c r="X271" s="924"/>
      <c r="Y271" s="4"/>
      <c r="Z271" s="4"/>
      <c r="AA271" s="4"/>
      <c r="AB271" s="4"/>
    </row>
    <row r="272" spans="1:45" x14ac:dyDescent="0.2">
      <c r="A272" s="77"/>
      <c r="D272" s="159"/>
      <c r="E272" s="159"/>
      <c r="F272" s="159"/>
      <c r="G272" s="159"/>
      <c r="H272" s="159"/>
      <c r="I272" s="159"/>
      <c r="J272" s="159"/>
      <c r="K272" s="159"/>
      <c r="L272" s="160"/>
      <c r="M272" s="160"/>
      <c r="N272" s="160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</row>
  </sheetData>
  <mergeCells count="14">
    <mergeCell ref="A4:A5"/>
    <mergeCell ref="AC4:AG4"/>
    <mergeCell ref="AL1:AS1"/>
    <mergeCell ref="B2:AI2"/>
    <mergeCell ref="D1:X1"/>
    <mergeCell ref="D4:G4"/>
    <mergeCell ref="I4:L4"/>
    <mergeCell ref="M4:P4"/>
    <mergeCell ref="Q4:T4"/>
    <mergeCell ref="U4:X4"/>
    <mergeCell ref="AP4:AS4"/>
    <mergeCell ref="AL4:AO4"/>
    <mergeCell ref="AH4:AK4"/>
    <mergeCell ref="Y4:AB4"/>
  </mergeCells>
  <pageMargins left="0" right="0" top="0.35433070866141736" bottom="0.19685039370078741" header="0.31496062992125984" footer="0.11811023622047245"/>
  <pageSetup paperSize="9" scale="38" orientation="landscape" r:id="rId1"/>
  <rowBreaks count="6" manualBreakCount="6">
    <brk id="26" max="44" man="1"/>
    <brk id="75" max="44" man="1"/>
    <brk id="121" max="44" man="1"/>
    <brk id="163" max="44" man="1"/>
    <brk id="209" max="44" man="1"/>
    <brk id="253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R23"/>
  <sheetViews>
    <sheetView zoomScale="80" zoomScaleNormal="80" zoomScaleSheetLayoutView="90" workbookViewId="0">
      <pane xSplit="4" ySplit="5" topLeftCell="AK6" activePane="bottomRight" state="frozen"/>
      <selection pane="topRight" activeCell="E1" sqref="E1"/>
      <selection pane="bottomLeft" activeCell="A6" sqref="A6"/>
      <selection pane="bottomRight" activeCell="AN11" sqref="AN11"/>
    </sheetView>
  </sheetViews>
  <sheetFormatPr defaultColWidth="8.85546875" defaultRowHeight="15" x14ac:dyDescent="0.25"/>
  <cols>
    <col min="1" max="1" width="6.42578125" style="4" customWidth="1"/>
    <col min="2" max="2" width="40.5703125" style="4" customWidth="1"/>
    <col min="3" max="3" width="9.5703125" style="4" customWidth="1"/>
    <col min="4" max="4" width="0.28515625" style="4" hidden="1" customWidth="1"/>
    <col min="5" max="5" width="11.85546875" style="4" customWidth="1"/>
    <col min="6" max="6" width="5.28515625" style="4" customWidth="1"/>
    <col min="7" max="7" width="9.140625" style="4" customWidth="1"/>
    <col min="8" max="8" width="13.42578125" style="291" customWidth="1"/>
    <col min="9" max="9" width="7.7109375" style="291" customWidth="1"/>
    <col min="10" max="10" width="4.42578125" style="291" customWidth="1"/>
    <col min="11" max="11" width="3.85546875" style="291" customWidth="1"/>
    <col min="12" max="12" width="6.85546875" style="4" customWidth="1"/>
    <col min="13" max="13" width="7.28515625" style="4" customWidth="1"/>
    <col min="14" max="14" width="4.140625" style="4" customWidth="1"/>
    <col min="15" max="15" width="4.42578125" style="4" customWidth="1"/>
    <col min="16" max="16" width="7.28515625" style="4" customWidth="1"/>
    <col min="17" max="17" width="7.7109375" style="4" customWidth="1"/>
    <col min="18" max="18" width="4.7109375" style="4" customWidth="1"/>
    <col min="19" max="19" width="4.140625" style="4" customWidth="1"/>
    <col min="20" max="20" width="7.5703125" style="4" customWidth="1"/>
    <col min="21" max="21" width="8" style="4" customWidth="1"/>
    <col min="22" max="22" width="5.28515625" style="4" customWidth="1"/>
    <col min="23" max="23" width="5.42578125" style="4" customWidth="1"/>
    <col min="24" max="24" width="8.28515625" style="4" customWidth="1"/>
    <col min="25" max="25" width="8.85546875" style="4" customWidth="1"/>
    <col min="26" max="26" width="5" style="4" customWidth="1"/>
    <col min="27" max="27" width="6" style="4" customWidth="1"/>
    <col min="28" max="28" width="7.5703125" style="4" customWidth="1"/>
    <col min="29" max="29" width="10.7109375" style="4" customWidth="1"/>
    <col min="30" max="30" width="6.140625" style="4" customWidth="1"/>
    <col min="31" max="31" width="9.42578125" style="4" customWidth="1"/>
    <col min="32" max="32" width="12.28515625" style="4" customWidth="1"/>
    <col min="33" max="33" width="10.42578125" style="4" customWidth="1"/>
    <col min="34" max="34" width="5.85546875" style="4" customWidth="1"/>
    <col min="35" max="35" width="5.140625" style="4" customWidth="1"/>
    <col min="36" max="36" width="10.42578125" style="4" customWidth="1"/>
    <col min="37" max="37" width="9.85546875" style="4" customWidth="1"/>
    <col min="38" max="38" width="4.5703125" style="4" customWidth="1"/>
    <col min="39" max="39" width="4.85546875" style="4" customWidth="1"/>
    <col min="40" max="40" width="10" style="4" customWidth="1"/>
    <col min="41" max="41" width="11" style="4" customWidth="1"/>
    <col min="42" max="43" width="4.7109375" style="4" customWidth="1"/>
    <col min="44" max="44" width="11.28515625" style="4" customWidth="1"/>
    <col min="45" max="16384" width="8.85546875" style="4"/>
  </cols>
  <sheetData>
    <row r="1" spans="1:44" ht="39" customHeight="1" x14ac:dyDescent="0.25">
      <c r="C1" s="289"/>
      <c r="D1" s="290"/>
      <c r="E1" s="290"/>
      <c r="F1" s="290"/>
      <c r="G1" s="290"/>
      <c r="H1" s="1648" t="s">
        <v>363</v>
      </c>
      <c r="I1" s="1648"/>
      <c r="J1" s="1648"/>
      <c r="K1" s="1648"/>
      <c r="L1" s="1648"/>
      <c r="M1" s="1648"/>
      <c r="N1" s="1648"/>
      <c r="O1" s="1648"/>
      <c r="P1" s="1648"/>
      <c r="Q1" s="1648"/>
      <c r="R1" s="1648"/>
      <c r="S1" s="1648"/>
      <c r="T1" s="1648"/>
      <c r="U1" s="1648"/>
      <c r="V1" s="1648"/>
      <c r="W1" s="1648"/>
      <c r="X1" s="1648"/>
      <c r="Y1" s="290"/>
    </row>
    <row r="2" spans="1:44" ht="39" customHeight="1" x14ac:dyDescent="0.3">
      <c r="B2" s="1619" t="s">
        <v>364</v>
      </c>
      <c r="C2" s="1649"/>
      <c r="D2" s="1649"/>
      <c r="E2" s="1649"/>
      <c r="F2" s="1649"/>
      <c r="G2" s="1649"/>
      <c r="H2" s="1649"/>
      <c r="I2" s="1649"/>
      <c r="J2" s="1649"/>
      <c r="K2" s="1649"/>
      <c r="L2" s="1649"/>
      <c r="M2" s="1649"/>
      <c r="N2" s="1649"/>
      <c r="O2" s="1649"/>
      <c r="P2" s="1649"/>
      <c r="Q2" s="1649"/>
      <c r="R2" s="1649"/>
      <c r="S2" s="1649"/>
      <c r="T2" s="1649"/>
      <c r="U2" s="1649"/>
      <c r="V2" s="1649"/>
      <c r="W2" s="1649"/>
      <c r="X2" s="1649"/>
    </row>
    <row r="3" spans="1:44" ht="26.45" customHeight="1" x14ac:dyDescent="0.25">
      <c r="K3" s="285"/>
    </row>
    <row r="4" spans="1:44" ht="52.9" customHeight="1" x14ac:dyDescent="0.25">
      <c r="A4" s="65"/>
      <c r="B4" s="292" t="s">
        <v>0</v>
      </c>
      <c r="C4" s="293" t="s">
        <v>15</v>
      </c>
      <c r="D4" s="294"/>
      <c r="E4" s="1650" t="s">
        <v>156</v>
      </c>
      <c r="F4" s="1650"/>
      <c r="G4" s="1650"/>
      <c r="H4" s="1650"/>
      <c r="I4" s="1584">
        <v>2014</v>
      </c>
      <c r="J4" s="1584"/>
      <c r="K4" s="1593"/>
      <c r="L4" s="1593"/>
      <c r="M4" s="1584">
        <v>2015</v>
      </c>
      <c r="N4" s="1584"/>
      <c r="O4" s="1584"/>
      <c r="P4" s="1584"/>
      <c r="Q4" s="1584">
        <v>2016</v>
      </c>
      <c r="R4" s="1584"/>
      <c r="S4" s="1584"/>
      <c r="T4" s="1584"/>
      <c r="U4" s="1584">
        <v>2017</v>
      </c>
      <c r="V4" s="1584"/>
      <c r="W4" s="1584"/>
      <c r="X4" s="1584"/>
      <c r="Y4" s="1584">
        <v>2018</v>
      </c>
      <c r="Z4" s="1584"/>
      <c r="AA4" s="1584"/>
      <c r="AB4" s="1584"/>
      <c r="AC4" s="1650">
        <v>2019</v>
      </c>
      <c r="AD4" s="1650"/>
      <c r="AE4" s="1650"/>
      <c r="AF4" s="1650"/>
      <c r="AG4" s="1650">
        <v>2020</v>
      </c>
      <c r="AH4" s="1650"/>
      <c r="AI4" s="1650"/>
      <c r="AJ4" s="1650"/>
      <c r="AK4" s="1641">
        <v>2021</v>
      </c>
      <c r="AL4" s="1642"/>
      <c r="AM4" s="1642"/>
      <c r="AN4" s="1643"/>
      <c r="AO4" s="1641">
        <v>2022</v>
      </c>
      <c r="AP4" s="1642"/>
      <c r="AQ4" s="1642"/>
      <c r="AR4" s="1643"/>
    </row>
    <row r="5" spans="1:44" ht="18" customHeight="1" x14ac:dyDescent="0.25">
      <c r="A5" s="304"/>
      <c r="B5" s="129"/>
      <c r="C5" s="898"/>
      <c r="D5" s="898"/>
      <c r="E5" s="899" t="s">
        <v>145</v>
      </c>
      <c r="F5" s="900" t="s">
        <v>4</v>
      </c>
      <c r="G5" s="901" t="s">
        <v>3</v>
      </c>
      <c r="H5" s="902" t="s">
        <v>5</v>
      </c>
      <c r="I5" s="903" t="s">
        <v>145</v>
      </c>
      <c r="J5" s="904" t="s">
        <v>4</v>
      </c>
      <c r="K5" s="904" t="s">
        <v>3</v>
      </c>
      <c r="L5" s="896" t="s">
        <v>5</v>
      </c>
      <c r="M5" s="896" t="s">
        <v>145</v>
      </c>
      <c r="N5" s="896" t="s">
        <v>4</v>
      </c>
      <c r="O5" s="896" t="s">
        <v>3</v>
      </c>
      <c r="P5" s="896" t="s">
        <v>5</v>
      </c>
      <c r="Q5" s="896" t="s">
        <v>145</v>
      </c>
      <c r="R5" s="896" t="s">
        <v>4</v>
      </c>
      <c r="S5" s="896" t="s">
        <v>3</v>
      </c>
      <c r="T5" s="896" t="s">
        <v>5</v>
      </c>
      <c r="U5" s="896" t="s">
        <v>145</v>
      </c>
      <c r="V5" s="896" t="s">
        <v>4</v>
      </c>
      <c r="W5" s="896" t="s">
        <v>3</v>
      </c>
      <c r="X5" s="896" t="s">
        <v>5</v>
      </c>
      <c r="Y5" s="896" t="s">
        <v>145</v>
      </c>
      <c r="Z5" s="896" t="s">
        <v>4</v>
      </c>
      <c r="AA5" s="896" t="s">
        <v>3</v>
      </c>
      <c r="AB5" s="896" t="s">
        <v>5</v>
      </c>
      <c r="AC5" s="897" t="s">
        <v>145</v>
      </c>
      <c r="AD5" s="897" t="s">
        <v>4</v>
      </c>
      <c r="AE5" s="897" t="s">
        <v>3</v>
      </c>
      <c r="AF5" s="897" t="s">
        <v>5</v>
      </c>
      <c r="AG5" s="897" t="s">
        <v>145</v>
      </c>
      <c r="AH5" s="897" t="s">
        <v>4</v>
      </c>
      <c r="AI5" s="897" t="s">
        <v>3</v>
      </c>
      <c r="AJ5" s="897" t="s">
        <v>5</v>
      </c>
      <c r="AK5" s="897" t="s">
        <v>145</v>
      </c>
      <c r="AL5" s="897" t="s">
        <v>4</v>
      </c>
      <c r="AM5" s="897" t="s">
        <v>3</v>
      </c>
      <c r="AN5" s="897" t="s">
        <v>5</v>
      </c>
      <c r="AO5" s="897" t="s">
        <v>145</v>
      </c>
      <c r="AP5" s="897" t="s">
        <v>4</v>
      </c>
      <c r="AQ5" s="897" t="s">
        <v>3</v>
      </c>
      <c r="AR5" s="897" t="s">
        <v>5</v>
      </c>
    </row>
    <row r="6" spans="1:44" ht="81" customHeight="1" x14ac:dyDescent="0.25">
      <c r="A6" s="295"/>
      <c r="B6" s="296" t="s">
        <v>365</v>
      </c>
      <c r="C6" s="297"/>
      <c r="D6" s="297"/>
      <c r="E6" s="1005">
        <f>E7</f>
        <v>506398.74933000002</v>
      </c>
      <c r="F6" s="1005">
        <f t="shared" ref="F6:S6" si="0">F7</f>
        <v>0</v>
      </c>
      <c r="G6" s="1005">
        <f t="shared" si="0"/>
        <v>675</v>
      </c>
      <c r="H6" s="1005">
        <f t="shared" si="0"/>
        <v>505723.74933000002</v>
      </c>
      <c r="I6" s="788">
        <f t="shared" si="0"/>
        <v>48203.97</v>
      </c>
      <c r="J6" s="788">
        <f t="shared" si="0"/>
        <v>0</v>
      </c>
      <c r="K6" s="788">
        <f t="shared" si="0"/>
        <v>0</v>
      </c>
      <c r="L6" s="788">
        <f t="shared" si="0"/>
        <v>48203.97</v>
      </c>
      <c r="M6" s="788">
        <f t="shared" si="0"/>
        <v>49476.750000000007</v>
      </c>
      <c r="N6" s="788">
        <f t="shared" si="0"/>
        <v>0</v>
      </c>
      <c r="O6" s="788">
        <f t="shared" si="0"/>
        <v>0</v>
      </c>
      <c r="P6" s="788">
        <f t="shared" si="0"/>
        <v>49476.750000000007</v>
      </c>
      <c r="Q6" s="788">
        <f t="shared" si="0"/>
        <v>51257.975699999995</v>
      </c>
      <c r="R6" s="788">
        <f t="shared" si="0"/>
        <v>0</v>
      </c>
      <c r="S6" s="788">
        <f t="shared" si="0"/>
        <v>0</v>
      </c>
      <c r="T6" s="788">
        <f t="shared" ref="T6:AJ6" si="1">T7</f>
        <v>51257.975699999995</v>
      </c>
      <c r="U6" s="788">
        <f t="shared" si="1"/>
        <v>56604.217910000007</v>
      </c>
      <c r="V6" s="788">
        <f t="shared" si="1"/>
        <v>0</v>
      </c>
      <c r="W6" s="788">
        <f t="shared" si="1"/>
        <v>0</v>
      </c>
      <c r="X6" s="788">
        <f t="shared" si="1"/>
        <v>56604.217910000007</v>
      </c>
      <c r="Y6" s="788">
        <f t="shared" si="1"/>
        <v>61545.500540000001</v>
      </c>
      <c r="Z6" s="788">
        <f t="shared" si="1"/>
        <v>0</v>
      </c>
      <c r="AA6" s="788">
        <f t="shared" si="1"/>
        <v>675</v>
      </c>
      <c r="AB6" s="788">
        <f t="shared" si="1"/>
        <v>60870.500540000001</v>
      </c>
      <c r="AC6" s="23">
        <f t="shared" si="1"/>
        <v>66732.43118</v>
      </c>
      <c r="AD6" s="23">
        <f t="shared" si="1"/>
        <v>0</v>
      </c>
      <c r="AE6" s="23">
        <f t="shared" si="1"/>
        <v>0</v>
      </c>
      <c r="AF6" s="1192">
        <f t="shared" si="1"/>
        <v>66732.43118</v>
      </c>
      <c r="AG6" s="23">
        <f t="shared" si="1"/>
        <v>70104.317999999999</v>
      </c>
      <c r="AH6" s="23">
        <f t="shared" si="1"/>
        <v>0</v>
      </c>
      <c r="AI6" s="23">
        <f t="shared" si="1"/>
        <v>0</v>
      </c>
      <c r="AJ6" s="23">
        <f t="shared" si="1"/>
        <v>70104.317999999999</v>
      </c>
      <c r="AK6" s="1009">
        <f t="shared" ref="AK6:AK12" si="2">AL6+AM6+AN6</f>
        <v>39711.898000000001</v>
      </c>
      <c r="AL6" s="23">
        <f>AL7</f>
        <v>0</v>
      </c>
      <c r="AM6" s="23">
        <f>AM7</f>
        <v>0</v>
      </c>
      <c r="AN6" s="23">
        <f>AN7</f>
        <v>39711.898000000001</v>
      </c>
      <c r="AO6" s="1009">
        <f t="shared" ref="AO6:AO12" si="3">AP6+AQ6+AR6</f>
        <v>62761.688000000002</v>
      </c>
      <c r="AP6" s="23">
        <f>AP7</f>
        <v>0</v>
      </c>
      <c r="AQ6" s="23">
        <f>AQ7</f>
        <v>0</v>
      </c>
      <c r="AR6" s="23">
        <f>AR7</f>
        <v>62761.688000000002</v>
      </c>
    </row>
    <row r="7" spans="1:44" ht="63" customHeight="1" x14ac:dyDescent="0.25">
      <c r="A7" s="667"/>
      <c r="B7" s="1179" t="s">
        <v>366</v>
      </c>
      <c r="C7" s="296"/>
      <c r="D7" s="296"/>
      <c r="E7" s="23">
        <f t="shared" ref="E7:E17" si="4">G7+H7</f>
        <v>506398.74933000002</v>
      </c>
      <c r="F7" s="23">
        <f t="shared" ref="F7:H8" si="5">J7+N7+R7+V7+Z7+AD7+AH7+AL7+AP7</f>
        <v>0</v>
      </c>
      <c r="G7" s="23">
        <f t="shared" si="5"/>
        <v>675</v>
      </c>
      <c r="H7" s="23">
        <f t="shared" si="5"/>
        <v>505723.74933000002</v>
      </c>
      <c r="I7" s="788">
        <f t="shared" ref="I7:I17" si="6">K7+L7</f>
        <v>48203.97</v>
      </c>
      <c r="J7" s="788">
        <v>0</v>
      </c>
      <c r="K7" s="788">
        <f>K8+K12+K16</f>
        <v>0</v>
      </c>
      <c r="L7" s="788">
        <f>L8+L12+L16</f>
        <v>48203.97</v>
      </c>
      <c r="M7" s="788">
        <f t="shared" ref="M7:M17" si="7">O7+P7</f>
        <v>49476.750000000007</v>
      </c>
      <c r="N7" s="788">
        <v>0</v>
      </c>
      <c r="O7" s="788">
        <f>O8+O12+O16</f>
        <v>0</v>
      </c>
      <c r="P7" s="788">
        <f>P8+P12+P16</f>
        <v>49476.750000000007</v>
      </c>
      <c r="Q7" s="788">
        <f t="shared" ref="Q7:Q17" si="8">S7+T7</f>
        <v>51257.975699999995</v>
      </c>
      <c r="R7" s="788">
        <v>0</v>
      </c>
      <c r="S7" s="788">
        <f>S8+S12+S16</f>
        <v>0</v>
      </c>
      <c r="T7" s="788">
        <f>T8+T12+T16+T18</f>
        <v>51257.975699999995</v>
      </c>
      <c r="U7" s="788">
        <f t="shared" ref="U7:U21" si="9">W7+X7</f>
        <v>56604.217910000007</v>
      </c>
      <c r="V7" s="788">
        <v>0</v>
      </c>
      <c r="W7" s="788">
        <f>W8+W12+W16</f>
        <v>0</v>
      </c>
      <c r="X7" s="788">
        <f>X8+X12+X16+X18+X19+X20+X21</f>
        <v>56604.217910000007</v>
      </c>
      <c r="Y7" s="788">
        <f>AA7+AB7</f>
        <v>61545.500540000001</v>
      </c>
      <c r="Z7" s="788">
        <v>0</v>
      </c>
      <c r="AA7" s="788">
        <f>AA8+AA12+AA16</f>
        <v>675</v>
      </c>
      <c r="AB7" s="788">
        <f>AB8+AB12+AB16+AB18+AB19+AB21</f>
        <v>60870.500540000001</v>
      </c>
      <c r="AC7" s="23">
        <f>AD7+AE7+AF7</f>
        <v>66732.43118</v>
      </c>
      <c r="AD7" s="23">
        <f>AD8+AD12+AD16</f>
        <v>0</v>
      </c>
      <c r="AE7" s="23">
        <f>AE8+AE12+AE16</f>
        <v>0</v>
      </c>
      <c r="AF7" s="1192">
        <f>AF8+AF12+AF16+AF18+AF19+AF20+AF21+AF22</f>
        <v>66732.43118</v>
      </c>
      <c r="AG7" s="845">
        <f t="shared" ref="AG7:AG12" si="10">AH7+AI7+AJ7</f>
        <v>70104.317999999999</v>
      </c>
      <c r="AH7" s="23">
        <f>AH8+AH12+AH16+AH18</f>
        <v>0</v>
      </c>
      <c r="AI7" s="23">
        <f>AI8+AI12+AI16+AI18</f>
        <v>0</v>
      </c>
      <c r="AJ7" s="23">
        <f>AJ8+AJ12+AJ16+AJ18+AJ19+AJ21+AJ22+AJ23</f>
        <v>70104.317999999999</v>
      </c>
      <c r="AK7" s="845">
        <f t="shared" si="2"/>
        <v>39711.898000000001</v>
      </c>
      <c r="AL7" s="23">
        <f>AL8+AL12+AL16+AL18+AL19+AL21</f>
        <v>0</v>
      </c>
      <c r="AM7" s="23">
        <f>AM8+AM12+AM16+AM18+AM19+AM21</f>
        <v>0</v>
      </c>
      <c r="AN7" s="23">
        <f>AN8+AN12+AN16+AN18+AN19+AN21</f>
        <v>39711.898000000001</v>
      </c>
      <c r="AO7" s="845">
        <f t="shared" si="3"/>
        <v>62761.688000000002</v>
      </c>
      <c r="AP7" s="23">
        <f>AP8+AP12+AP16+AP18+AP19+AP21</f>
        <v>0</v>
      </c>
      <c r="AQ7" s="23">
        <f>AQ8+AQ12+AQ16+AQ18+AQ19+AQ21</f>
        <v>0</v>
      </c>
      <c r="AR7" s="23">
        <f>AR8+AR12+AR16+AR18+AR19+AR21</f>
        <v>62761.688000000002</v>
      </c>
    </row>
    <row r="8" spans="1:44" ht="54" customHeight="1" x14ac:dyDescent="0.25">
      <c r="A8" s="686" t="s">
        <v>185</v>
      </c>
      <c r="B8" s="1180" t="s">
        <v>727</v>
      </c>
      <c r="C8" s="670" t="s">
        <v>561</v>
      </c>
      <c r="D8" s="671"/>
      <c r="E8" s="648">
        <f t="shared" si="4"/>
        <v>485013.59874000004</v>
      </c>
      <c r="F8" s="648">
        <f t="shared" si="5"/>
        <v>0</v>
      </c>
      <c r="G8" s="648">
        <f t="shared" si="5"/>
        <v>675</v>
      </c>
      <c r="H8" s="648">
        <f t="shared" si="5"/>
        <v>484338.59874000004</v>
      </c>
      <c r="I8" s="790">
        <f t="shared" si="6"/>
        <v>47715.8</v>
      </c>
      <c r="J8" s="790"/>
      <c r="K8" s="790"/>
      <c r="L8" s="790">
        <v>47715.8</v>
      </c>
      <c r="M8" s="1173">
        <f>M9+M10</f>
        <v>48665.130000000005</v>
      </c>
      <c r="N8" s="1173">
        <f>N9+N10</f>
        <v>0</v>
      </c>
      <c r="O8" s="1173">
        <f>O9+O10</f>
        <v>0</v>
      </c>
      <c r="P8" s="1173">
        <f>P9+P10</f>
        <v>48665.130000000005</v>
      </c>
      <c r="Q8" s="1171">
        <f>Q9+Q10</f>
        <v>50055.034699999997</v>
      </c>
      <c r="R8" s="790"/>
      <c r="S8" s="1173"/>
      <c r="T8" s="1193">
        <f>T9+T10</f>
        <v>50055.034699999997</v>
      </c>
      <c r="U8" s="790">
        <f t="shared" si="9"/>
        <v>52645.294690000002</v>
      </c>
      <c r="V8" s="790"/>
      <c r="W8" s="1173"/>
      <c r="X8" s="1171">
        <f>X9+X10+X11</f>
        <v>52645.294690000002</v>
      </c>
      <c r="Y8" s="790">
        <f>AA8+AB8</f>
        <v>58555.021339999999</v>
      </c>
      <c r="Z8" s="790"/>
      <c r="AA8" s="1171">
        <f>AA9+AA10</f>
        <v>675</v>
      </c>
      <c r="AB8" s="1171">
        <f>AB9+AB10+AB11</f>
        <v>57880.021339999999</v>
      </c>
      <c r="AC8" s="648">
        <f>AD8+AE8+AF8</f>
        <v>64075.614010000005</v>
      </c>
      <c r="AD8" s="685">
        <f>AD9+AD10</f>
        <v>0</v>
      </c>
      <c r="AE8" s="685">
        <f>AE9+AE10</f>
        <v>0</v>
      </c>
      <c r="AF8" s="650">
        <f>AF9+AF10+AF11</f>
        <v>64075.614010000005</v>
      </c>
      <c r="AG8" s="687">
        <f t="shared" si="10"/>
        <v>62548.118000000002</v>
      </c>
      <c r="AH8" s="686">
        <f>AH9+AH10+AH11</f>
        <v>0</v>
      </c>
      <c r="AI8" s="686">
        <f>AI9+AI10+AI11</f>
        <v>0</v>
      </c>
      <c r="AJ8" s="685">
        <f>AJ9+AJ10+AJ11</f>
        <v>62548.118000000002</v>
      </c>
      <c r="AK8" s="687">
        <f t="shared" si="2"/>
        <v>38851.898000000001</v>
      </c>
      <c r="AL8" s="685">
        <f>AL9+AL10+AL11</f>
        <v>0</v>
      </c>
      <c r="AM8" s="685">
        <f>AM9+AM10+AM11</f>
        <v>0</v>
      </c>
      <c r="AN8" s="685">
        <f>AN9+AN10+AN11</f>
        <v>38851.898000000001</v>
      </c>
      <c r="AO8" s="687">
        <f t="shared" si="3"/>
        <v>61901.688000000002</v>
      </c>
      <c r="AP8" s="685">
        <f>AP9+AP10+AP11</f>
        <v>0</v>
      </c>
      <c r="AQ8" s="685">
        <f>AQ9+AQ10+AQ11</f>
        <v>0</v>
      </c>
      <c r="AR8" s="685">
        <f>AR9+AR10+AR11</f>
        <v>61901.688000000002</v>
      </c>
    </row>
    <row r="9" spans="1:44" s="129" customFormat="1" ht="72" customHeight="1" x14ac:dyDescent="0.25">
      <c r="A9" s="1181" t="s">
        <v>6</v>
      </c>
      <c r="B9" s="1182" t="s">
        <v>369</v>
      </c>
      <c r="C9" s="331" t="s">
        <v>370</v>
      </c>
      <c r="D9" s="332"/>
      <c r="E9" s="26">
        <f t="shared" si="4"/>
        <v>97037.095350000003</v>
      </c>
      <c r="F9" s="26">
        <f t="shared" ref="F9:G12" si="11">J9+N9+R9+V9+Z9+AD9+AH9</f>
        <v>0</v>
      </c>
      <c r="G9" s="26">
        <f t="shared" si="11"/>
        <v>150</v>
      </c>
      <c r="H9" s="26">
        <f>L9+P9+T9+X9+AB9+AF9+AJ9+AN9+AR9</f>
        <v>96887.095350000003</v>
      </c>
      <c r="I9" s="791">
        <f>J9+K9+L9</f>
        <v>8782.75</v>
      </c>
      <c r="J9" s="791"/>
      <c r="K9" s="791"/>
      <c r="L9" s="791">
        <v>8782.75</v>
      </c>
      <c r="M9" s="791">
        <f>N9+O9+P9</f>
        <v>9404.9</v>
      </c>
      <c r="N9" s="791"/>
      <c r="O9" s="839"/>
      <c r="P9" s="839">
        <v>9404.9</v>
      </c>
      <c r="Q9" s="791">
        <f>R9+S9+T9</f>
        <v>10446.594800000001</v>
      </c>
      <c r="R9" s="791"/>
      <c r="S9" s="839"/>
      <c r="T9" s="798">
        <v>10446.594800000001</v>
      </c>
      <c r="U9" s="791">
        <f>V9+W9+X9</f>
        <v>10254.799999999999</v>
      </c>
      <c r="V9" s="791"/>
      <c r="W9" s="839"/>
      <c r="X9" s="841">
        <v>10254.799999999999</v>
      </c>
      <c r="Y9" s="791">
        <f>Z9+AA9+AB9</f>
        <v>10014.784000000001</v>
      </c>
      <c r="Z9" s="861"/>
      <c r="AA9" s="863">
        <v>150</v>
      </c>
      <c r="AB9" s="841">
        <f>10640-109+36.7-353.916-349</f>
        <v>9864.7840000000015</v>
      </c>
      <c r="AC9" s="26">
        <f t="shared" ref="AC9:AC22" si="12">AD9+AE9+AF9</f>
        <v>11423.096549999998</v>
      </c>
      <c r="AD9" s="260"/>
      <c r="AE9" s="260"/>
      <c r="AF9" s="624">
        <f>10741+754.89655+126-51-374.2+109+117.4</f>
        <v>11423.096549999998</v>
      </c>
      <c r="AG9" s="889">
        <f t="shared" si="10"/>
        <v>12222.9</v>
      </c>
      <c r="AH9" s="391"/>
      <c r="AI9" s="391"/>
      <c r="AJ9" s="889">
        <f>12039.4+183.5</f>
        <v>12222.9</v>
      </c>
      <c r="AK9" s="889">
        <f t="shared" si="2"/>
        <v>12236.8</v>
      </c>
      <c r="AL9" s="391"/>
      <c r="AM9" s="391"/>
      <c r="AN9" s="391">
        <f>12053.3+183.5</f>
        <v>12236.8</v>
      </c>
      <c r="AO9" s="889">
        <f t="shared" si="3"/>
        <v>12250.47</v>
      </c>
      <c r="AP9" s="391"/>
      <c r="AQ9" s="391"/>
      <c r="AR9" s="391">
        <f>12066.97+183.5</f>
        <v>12250.47</v>
      </c>
    </row>
    <row r="10" spans="1:44" s="129" customFormat="1" ht="33.75" customHeight="1" x14ac:dyDescent="0.25">
      <c r="A10" s="1181" t="s">
        <v>8</v>
      </c>
      <c r="B10" s="1183" t="s">
        <v>371</v>
      </c>
      <c r="C10" s="331" t="s">
        <v>562</v>
      </c>
      <c r="D10" s="332"/>
      <c r="E10" s="26">
        <f t="shared" si="4"/>
        <v>383900.00711999997</v>
      </c>
      <c r="F10" s="26">
        <f>J10+N10+R10+V10+Z10+AD10+AH10+AL10+AP10</f>
        <v>0</v>
      </c>
      <c r="G10" s="26">
        <f>K10+O10+S10+W10+AA10+AE10+AI10+AM10+AQ10</f>
        <v>525</v>
      </c>
      <c r="H10" s="26">
        <f>L10+P10+T10+X10+AB10+AF10+AJ10+AN10+AR10</f>
        <v>383375.00711999997</v>
      </c>
      <c r="I10" s="791">
        <f>J10+K10+L10</f>
        <v>38933.050000000003</v>
      </c>
      <c r="J10" s="791"/>
      <c r="K10" s="791"/>
      <c r="L10" s="791">
        <v>38933.050000000003</v>
      </c>
      <c r="M10" s="791">
        <f>N10+O10+P10</f>
        <v>39260.230000000003</v>
      </c>
      <c r="N10" s="791"/>
      <c r="O10" s="839"/>
      <c r="P10" s="839">
        <v>39260.230000000003</v>
      </c>
      <c r="Q10" s="791">
        <f>R10+S10+T10</f>
        <v>39608.439899999998</v>
      </c>
      <c r="R10" s="791"/>
      <c r="S10" s="839"/>
      <c r="T10" s="798">
        <v>39608.439899999998</v>
      </c>
      <c r="U10" s="791">
        <f>V10+W10+X10</f>
        <v>41484</v>
      </c>
      <c r="V10" s="791"/>
      <c r="W10" s="839"/>
      <c r="X10" s="841">
        <v>41484</v>
      </c>
      <c r="Y10" s="791">
        <f>Z10+AA10+AB10</f>
        <v>47527.199999999997</v>
      </c>
      <c r="Z10" s="861"/>
      <c r="AA10" s="863">
        <v>525</v>
      </c>
      <c r="AB10" s="841">
        <f>45112+474.2+683.7+732.3</f>
        <v>47002.2</v>
      </c>
      <c r="AC10" s="26">
        <f t="shared" si="12"/>
        <v>51535.553220000002</v>
      </c>
      <c r="AD10" s="260"/>
      <c r="AE10" s="260">
        <v>0</v>
      </c>
      <c r="AF10" s="624">
        <f>47328.8+65.19322+1100+66.4+959.6+535.56+1500-20</f>
        <v>51535.553220000002</v>
      </c>
      <c r="AG10" s="889">
        <f t="shared" si="10"/>
        <v>49285.218000000001</v>
      </c>
      <c r="AH10" s="391"/>
      <c r="AI10" s="391"/>
      <c r="AJ10" s="889">
        <f>47759.818+1525.4</f>
        <v>49285.218000000001</v>
      </c>
      <c r="AK10" s="889">
        <f t="shared" si="2"/>
        <v>26615.098000000002</v>
      </c>
      <c r="AL10" s="391"/>
      <c r="AM10" s="391"/>
      <c r="AN10" s="391">
        <f>47813.398+1525.4-22723.7</f>
        <v>26615.098000000002</v>
      </c>
      <c r="AO10" s="889">
        <f t="shared" si="3"/>
        <v>49651.218000000001</v>
      </c>
      <c r="AP10" s="391"/>
      <c r="AQ10" s="391"/>
      <c r="AR10" s="391">
        <f>48125.818+1525.4</f>
        <v>49651.218000000001</v>
      </c>
    </row>
    <row r="11" spans="1:44" s="129" customFormat="1" ht="83.25" customHeight="1" x14ac:dyDescent="0.25">
      <c r="A11" s="1181" t="s">
        <v>51</v>
      </c>
      <c r="B11" s="1191" t="s">
        <v>543</v>
      </c>
      <c r="C11" s="331" t="s">
        <v>563</v>
      </c>
      <c r="D11" s="332"/>
      <c r="E11" s="26">
        <f t="shared" si="4"/>
        <v>4076.4962699999996</v>
      </c>
      <c r="F11" s="26">
        <f>J11+N11+R11+V11+Z11+AD11+AH11+AL11+AP11</f>
        <v>0</v>
      </c>
      <c r="G11" s="26">
        <f>K11+O11+S11+W11+AA11+AE11+AI11+AM11+AQ11</f>
        <v>0</v>
      </c>
      <c r="H11" s="26">
        <f>L11+P11+T11+X11+AB11+AF11+AJ11+AN11+AR11</f>
        <v>4076.4962699999996</v>
      </c>
      <c r="I11" s="791"/>
      <c r="J11" s="791"/>
      <c r="K11" s="791"/>
      <c r="L11" s="791"/>
      <c r="M11" s="791"/>
      <c r="N11" s="791"/>
      <c r="O11" s="839"/>
      <c r="P11" s="839"/>
      <c r="Q11" s="791">
        <f>R11+S11+T11</f>
        <v>0</v>
      </c>
      <c r="R11" s="791"/>
      <c r="S11" s="839"/>
      <c r="T11" s="839"/>
      <c r="U11" s="791">
        <f>V11+W11+X11</f>
        <v>906.49468999999999</v>
      </c>
      <c r="V11" s="791"/>
      <c r="W11" s="839"/>
      <c r="X11" s="841">
        <f>1023-116.50531</f>
        <v>906.49468999999999</v>
      </c>
      <c r="Y11" s="791">
        <f>Z11+AA11+AB11</f>
        <v>1013.03734</v>
      </c>
      <c r="Z11" s="1162"/>
      <c r="AA11" s="1162"/>
      <c r="AB11" s="841">
        <f>885+130-15.15932+13.19666</f>
        <v>1013.03734</v>
      </c>
      <c r="AC11" s="1034">
        <f t="shared" si="12"/>
        <v>1116.96424</v>
      </c>
      <c r="AD11" s="260"/>
      <c r="AE11" s="260"/>
      <c r="AF11" s="624">
        <f>915+8.38863+200-6.42439</f>
        <v>1116.96424</v>
      </c>
      <c r="AG11" s="889">
        <f t="shared" si="10"/>
        <v>1040</v>
      </c>
      <c r="AH11" s="391"/>
      <c r="AI11" s="391"/>
      <c r="AJ11" s="889">
        <v>1040</v>
      </c>
      <c r="AK11" s="889">
        <f t="shared" si="2"/>
        <v>0</v>
      </c>
      <c r="AL11" s="391"/>
      <c r="AM11" s="391"/>
      <c r="AN11" s="391">
        <v>0</v>
      </c>
      <c r="AO11" s="889">
        <f t="shared" si="3"/>
        <v>0</v>
      </c>
      <c r="AP11" s="391"/>
      <c r="AQ11" s="391"/>
      <c r="AR11" s="391"/>
    </row>
    <row r="12" spans="1:44" ht="51.75" x14ac:dyDescent="0.25">
      <c r="A12" s="686" t="s">
        <v>13</v>
      </c>
      <c r="B12" s="676" t="s">
        <v>728</v>
      </c>
      <c r="C12" s="674" t="s">
        <v>44</v>
      </c>
      <c r="D12" s="655"/>
      <c r="E12" s="648">
        <f t="shared" si="4"/>
        <v>8485.4516499999991</v>
      </c>
      <c r="F12" s="648">
        <f t="shared" si="11"/>
        <v>0</v>
      </c>
      <c r="G12" s="648">
        <f t="shared" si="11"/>
        <v>0</v>
      </c>
      <c r="H12" s="648">
        <f>L12+P12+T12+X12+AB12+AF12+AJ12+AN12+AR12</f>
        <v>8485.4516499999991</v>
      </c>
      <c r="I12" s="790">
        <f t="shared" si="6"/>
        <v>488.16999999999996</v>
      </c>
      <c r="J12" s="790"/>
      <c r="K12" s="790"/>
      <c r="L12" s="790">
        <f>L13</f>
        <v>488.16999999999996</v>
      </c>
      <c r="M12" s="790">
        <f>O12+P12</f>
        <v>629.65</v>
      </c>
      <c r="N12" s="790"/>
      <c r="O12" s="790"/>
      <c r="P12" s="790">
        <f>P13</f>
        <v>629.65</v>
      </c>
      <c r="Q12" s="790">
        <f>R12+S12+T12</f>
        <v>810</v>
      </c>
      <c r="R12" s="790"/>
      <c r="S12" s="790"/>
      <c r="T12" s="790">
        <f>T13</f>
        <v>810</v>
      </c>
      <c r="U12" s="790">
        <f>W12+X12</f>
        <v>1013.654</v>
      </c>
      <c r="V12" s="790"/>
      <c r="W12" s="790"/>
      <c r="X12" s="790">
        <f>X13</f>
        <v>1013.654</v>
      </c>
      <c r="Y12" s="790">
        <f>AA12+AB12</f>
        <v>832.48820000000001</v>
      </c>
      <c r="Z12" s="790"/>
      <c r="AA12" s="790"/>
      <c r="AB12" s="790">
        <f>AB13</f>
        <v>832.48820000000001</v>
      </c>
      <c r="AC12" s="648">
        <f t="shared" si="12"/>
        <v>1703.48945</v>
      </c>
      <c r="AD12" s="651">
        <f>AD13</f>
        <v>0</v>
      </c>
      <c r="AE12" s="651">
        <f>AE13</f>
        <v>0</v>
      </c>
      <c r="AF12" s="651">
        <f>AF14</f>
        <v>1703.48945</v>
      </c>
      <c r="AG12" s="687">
        <f t="shared" si="10"/>
        <v>1408</v>
      </c>
      <c r="AH12" s="686">
        <f>AH14+AH15</f>
        <v>0</v>
      </c>
      <c r="AI12" s="686">
        <f>AI14+AI15</f>
        <v>0</v>
      </c>
      <c r="AJ12" s="687">
        <f>AJ14+AJ15</f>
        <v>1408</v>
      </c>
      <c r="AK12" s="687">
        <f t="shared" si="2"/>
        <v>800</v>
      </c>
      <c r="AL12" s="686"/>
      <c r="AM12" s="686"/>
      <c r="AN12" s="687">
        <f>AN14+AN15</f>
        <v>800</v>
      </c>
      <c r="AO12" s="687">
        <f t="shared" si="3"/>
        <v>800</v>
      </c>
      <c r="AP12" s="686"/>
      <c r="AQ12" s="686"/>
      <c r="AR12" s="687">
        <f>AR14+AR15</f>
        <v>800</v>
      </c>
    </row>
    <row r="13" spans="1:44" s="129" customFormat="1" ht="0.6" customHeight="1" x14ac:dyDescent="0.25">
      <c r="A13" s="1184" t="s">
        <v>14</v>
      </c>
      <c r="B13" s="1185" t="s">
        <v>373</v>
      </c>
      <c r="C13" s="305"/>
      <c r="D13" s="306"/>
      <c r="E13" s="307">
        <f t="shared" si="4"/>
        <v>3773.9621999999999</v>
      </c>
      <c r="F13" s="307"/>
      <c r="G13" s="24">
        <f>K13+O13+S13+W13+AA13+AE13</f>
        <v>0</v>
      </c>
      <c r="H13" s="24">
        <f>L13+P13+T13+X13+AB13+AF13</f>
        <v>3773.9621999999999</v>
      </c>
      <c r="I13" s="794">
        <f>J13+K13+L13</f>
        <v>488.16999999999996</v>
      </c>
      <c r="J13" s="794"/>
      <c r="K13" s="794"/>
      <c r="L13" s="794">
        <f>L14+L15</f>
        <v>488.16999999999996</v>
      </c>
      <c r="M13" s="794">
        <f>N13+O13+P13</f>
        <v>629.65</v>
      </c>
      <c r="N13" s="794"/>
      <c r="O13" s="794"/>
      <c r="P13" s="794">
        <f>P14+P15</f>
        <v>629.65</v>
      </c>
      <c r="Q13" s="794">
        <f>R13+S13+T13</f>
        <v>810</v>
      </c>
      <c r="R13" s="794"/>
      <c r="S13" s="794"/>
      <c r="T13" s="794">
        <f>T14+T15</f>
        <v>810</v>
      </c>
      <c r="U13" s="794">
        <f>V13+W13+X13</f>
        <v>1013.654</v>
      </c>
      <c r="V13" s="794"/>
      <c r="W13" s="794"/>
      <c r="X13" s="794">
        <f>X14+X15</f>
        <v>1013.654</v>
      </c>
      <c r="Y13" s="794">
        <f>Z13+AA13+AB13</f>
        <v>832.48820000000001</v>
      </c>
      <c r="Z13" s="794"/>
      <c r="AA13" s="794"/>
      <c r="AB13" s="794">
        <f>AB14+AB15</f>
        <v>832.48820000000001</v>
      </c>
      <c r="AC13" s="631">
        <f t="shared" si="12"/>
        <v>0</v>
      </c>
      <c r="AD13" s="632"/>
      <c r="AE13" s="632"/>
      <c r="AF13" s="1457"/>
      <c r="AG13" s="889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</row>
    <row r="14" spans="1:44" ht="29.25" customHeight="1" x14ac:dyDescent="0.25">
      <c r="A14" s="1644"/>
      <c r="B14" s="1646" t="s">
        <v>374</v>
      </c>
      <c r="C14" s="679" t="s">
        <v>44</v>
      </c>
      <c r="D14" s="678"/>
      <c r="E14" s="26">
        <f t="shared" si="4"/>
        <v>8167.4816499999997</v>
      </c>
      <c r="F14" s="26">
        <f t="shared" ref="F14:G16" si="13">J14+N14+R14+V14+Z14+AD14+AH14+AL14+AP14</f>
        <v>0</v>
      </c>
      <c r="G14" s="26">
        <f t="shared" si="13"/>
        <v>0</v>
      </c>
      <c r="H14" s="26">
        <f>L14+P14+T14+X14+AB14+AF14+AJ14+AN14+AR14</f>
        <v>8167.4816499999997</v>
      </c>
      <c r="I14" s="791">
        <f t="shared" si="6"/>
        <v>438.2</v>
      </c>
      <c r="J14" s="791"/>
      <c r="K14" s="840"/>
      <c r="L14" s="798">
        <v>438.2</v>
      </c>
      <c r="M14" s="791">
        <f t="shared" si="7"/>
        <v>629.65</v>
      </c>
      <c r="N14" s="791"/>
      <c r="O14" s="839"/>
      <c r="P14" s="841">
        <v>629.65</v>
      </c>
      <c r="Q14" s="791">
        <f t="shared" si="8"/>
        <v>690</v>
      </c>
      <c r="R14" s="791"/>
      <c r="S14" s="791"/>
      <c r="T14" s="841">
        <v>690</v>
      </c>
      <c r="U14" s="791">
        <f t="shared" si="9"/>
        <v>865.654</v>
      </c>
      <c r="V14" s="791"/>
      <c r="W14" s="791"/>
      <c r="X14" s="841">
        <v>865.654</v>
      </c>
      <c r="Y14" s="791">
        <f t="shared" ref="Y14:Y21" si="14">AA14+AB14</f>
        <v>832.48820000000001</v>
      </c>
      <c r="Z14" s="1162"/>
      <c r="AA14" s="1162"/>
      <c r="AB14" s="841">
        <f>650+150+6.8723+25.6159</f>
        <v>832.48820000000001</v>
      </c>
      <c r="AC14" s="26">
        <f t="shared" si="12"/>
        <v>1703.48945</v>
      </c>
      <c r="AD14" s="260"/>
      <c r="AE14" s="260"/>
      <c r="AF14" s="204">
        <f>800+301.9+165+225+100+25+18.28945+43.3+25</f>
        <v>1703.48945</v>
      </c>
      <c r="AG14" s="749">
        <f>AH14+AI14+AJ14</f>
        <v>1408</v>
      </c>
      <c r="AH14" s="16"/>
      <c r="AI14" s="16"/>
      <c r="AJ14" s="16">
        <f>800+608</f>
        <v>1408</v>
      </c>
      <c r="AK14" s="749">
        <f>AL14+AM14+AN14</f>
        <v>800</v>
      </c>
      <c r="AL14" s="16"/>
      <c r="AM14" s="16"/>
      <c r="AN14" s="16">
        <v>800</v>
      </c>
      <c r="AO14" s="749">
        <f>AP14+AQ14+AR14</f>
        <v>800</v>
      </c>
      <c r="AP14" s="16"/>
      <c r="AQ14" s="16"/>
      <c r="AR14" s="16">
        <v>800</v>
      </c>
    </row>
    <row r="15" spans="1:44" ht="31.5" customHeight="1" x14ac:dyDescent="0.25">
      <c r="A15" s="1645"/>
      <c r="B15" s="1647"/>
      <c r="C15" s="679" t="s">
        <v>446</v>
      </c>
      <c r="D15" s="678"/>
      <c r="E15" s="26">
        <f t="shared" si="4"/>
        <v>317.97000000000003</v>
      </c>
      <c r="F15" s="26">
        <f t="shared" si="13"/>
        <v>0</v>
      </c>
      <c r="G15" s="26">
        <f t="shared" si="13"/>
        <v>0</v>
      </c>
      <c r="H15" s="26">
        <f>L15+P15+T15+X15+AB15+AF15+AJ15+AN15+AR15</f>
        <v>317.97000000000003</v>
      </c>
      <c r="I15" s="791">
        <f t="shared" si="6"/>
        <v>49.97</v>
      </c>
      <c r="J15" s="791"/>
      <c r="K15" s="840"/>
      <c r="L15" s="798">
        <v>49.97</v>
      </c>
      <c r="M15" s="791">
        <f t="shared" si="7"/>
        <v>0</v>
      </c>
      <c r="N15" s="791"/>
      <c r="O15" s="839"/>
      <c r="P15" s="839"/>
      <c r="Q15" s="791">
        <f t="shared" si="8"/>
        <v>120</v>
      </c>
      <c r="R15" s="791"/>
      <c r="S15" s="791"/>
      <c r="T15" s="841">
        <v>120</v>
      </c>
      <c r="U15" s="791">
        <f t="shared" si="9"/>
        <v>148</v>
      </c>
      <c r="V15" s="791"/>
      <c r="W15" s="791"/>
      <c r="X15" s="841">
        <v>148</v>
      </c>
      <c r="Y15" s="791">
        <f t="shared" si="14"/>
        <v>0</v>
      </c>
      <c r="Z15" s="1162"/>
      <c r="AA15" s="1162"/>
      <c r="AB15" s="839"/>
      <c r="AC15" s="26">
        <f t="shared" si="12"/>
        <v>0</v>
      </c>
      <c r="AD15" s="260"/>
      <c r="AE15" s="260"/>
      <c r="AF15" s="260"/>
      <c r="AG15" s="749">
        <f>AH15+AI15+AJ15</f>
        <v>0</v>
      </c>
      <c r="AH15" s="16"/>
      <c r="AI15" s="16"/>
      <c r="AJ15" s="16"/>
      <c r="AK15" s="749">
        <f>AL15+AM15+AN15</f>
        <v>0</v>
      </c>
      <c r="AL15" s="16"/>
      <c r="AM15" s="16"/>
      <c r="AN15" s="16"/>
      <c r="AO15" s="749">
        <f>AP15+AQ15+AR15</f>
        <v>0</v>
      </c>
      <c r="AP15" s="16"/>
      <c r="AQ15" s="16"/>
      <c r="AR15" s="16"/>
    </row>
    <row r="16" spans="1:44" ht="42" customHeight="1" x14ac:dyDescent="0.25">
      <c r="A16" s="686" t="s">
        <v>190</v>
      </c>
      <c r="B16" s="1180" t="s">
        <v>729</v>
      </c>
      <c r="C16" s="670" t="s">
        <v>564</v>
      </c>
      <c r="D16" s="671"/>
      <c r="E16" s="648">
        <f t="shared" si="4"/>
        <v>1058.83</v>
      </c>
      <c r="F16" s="648">
        <f t="shared" si="13"/>
        <v>0</v>
      </c>
      <c r="G16" s="648">
        <f t="shared" si="13"/>
        <v>0</v>
      </c>
      <c r="H16" s="648">
        <f>L16+P16+T16+X16+AB16+AF16+AJ16+AN16+AR16</f>
        <v>1058.83</v>
      </c>
      <c r="I16" s="836">
        <f t="shared" si="6"/>
        <v>0</v>
      </c>
      <c r="J16" s="836"/>
      <c r="K16" s="836"/>
      <c r="L16" s="836"/>
      <c r="M16" s="842">
        <f t="shared" si="7"/>
        <v>181.97</v>
      </c>
      <c r="N16" s="842"/>
      <c r="O16" s="836"/>
      <c r="P16" s="842">
        <f>P17</f>
        <v>181.97</v>
      </c>
      <c r="Q16" s="836">
        <f t="shared" si="8"/>
        <v>187.9</v>
      </c>
      <c r="R16" s="836"/>
      <c r="S16" s="836"/>
      <c r="T16" s="836">
        <v>187.9</v>
      </c>
      <c r="U16" s="836">
        <f t="shared" si="9"/>
        <v>28.99</v>
      </c>
      <c r="V16" s="836"/>
      <c r="W16" s="836"/>
      <c r="X16" s="836">
        <v>28.99</v>
      </c>
      <c r="Y16" s="836">
        <f t="shared" si="14"/>
        <v>399.97</v>
      </c>
      <c r="Z16" s="844"/>
      <c r="AA16" s="844"/>
      <c r="AB16" s="1176">
        <f>400-0.03</f>
        <v>399.97</v>
      </c>
      <c r="AC16" s="672">
        <f t="shared" si="12"/>
        <v>260</v>
      </c>
      <c r="AD16" s="655"/>
      <c r="AE16" s="655"/>
      <c r="AF16" s="677">
        <f>400-140</f>
        <v>260</v>
      </c>
      <c r="AG16" s="677">
        <f>AH16+AI16+AJ16</f>
        <v>0</v>
      </c>
      <c r="AH16" s="655"/>
      <c r="AI16" s="655"/>
      <c r="AJ16" s="677">
        <v>0</v>
      </c>
      <c r="AK16" s="677">
        <f t="shared" ref="AK16:AK21" si="15">AL16+AM16+AN16</f>
        <v>0</v>
      </c>
      <c r="AL16" s="655"/>
      <c r="AM16" s="655"/>
      <c r="AN16" s="655">
        <v>0</v>
      </c>
      <c r="AO16" s="677">
        <f t="shared" ref="AO16:AO21" si="16">AP16+AQ16+AR16</f>
        <v>0</v>
      </c>
      <c r="AP16" s="655"/>
      <c r="AQ16" s="655"/>
      <c r="AR16" s="655"/>
    </row>
    <row r="17" spans="1:44" s="129" customFormat="1" ht="6" hidden="1" customHeight="1" x14ac:dyDescent="0.25">
      <c r="A17" s="1186" t="s">
        <v>52</v>
      </c>
      <c r="B17" s="1187" t="s">
        <v>375</v>
      </c>
      <c r="C17" s="14" t="s">
        <v>110</v>
      </c>
      <c r="D17" s="303"/>
      <c r="E17" s="22">
        <f t="shared" si="4"/>
        <v>181.97</v>
      </c>
      <c r="F17" s="22"/>
      <c r="G17" s="22">
        <f>K17+O17+S17+W17+AA17+AE17</f>
        <v>0</v>
      </c>
      <c r="H17" s="648">
        <f t="shared" ref="H17:H23" si="17">L17+P17+T17+X17+AB17+AF17+AJ17+AN17+AR17</f>
        <v>181.97</v>
      </c>
      <c r="I17" s="792">
        <f t="shared" si="6"/>
        <v>0</v>
      </c>
      <c r="J17" s="792"/>
      <c r="K17" s="792"/>
      <c r="L17" s="792"/>
      <c r="M17" s="807">
        <f t="shared" si="7"/>
        <v>181.97</v>
      </c>
      <c r="N17" s="792"/>
      <c r="O17" s="843"/>
      <c r="P17" s="843">
        <v>181.97</v>
      </c>
      <c r="Q17" s="792">
        <f t="shared" si="8"/>
        <v>0</v>
      </c>
      <c r="R17" s="792"/>
      <c r="S17" s="843"/>
      <c r="T17" s="843"/>
      <c r="U17" s="1177">
        <f t="shared" si="9"/>
        <v>0</v>
      </c>
      <c r="V17" s="792"/>
      <c r="W17" s="843"/>
      <c r="X17" s="843"/>
      <c r="Y17" s="1177">
        <f t="shared" si="14"/>
        <v>0</v>
      </c>
      <c r="Z17" s="1178"/>
      <c r="AA17" s="1178"/>
      <c r="AB17" s="1178"/>
      <c r="AC17" s="631">
        <f t="shared" si="12"/>
        <v>0</v>
      </c>
      <c r="AD17" s="391"/>
      <c r="AE17" s="391"/>
      <c r="AF17" s="391"/>
      <c r="AG17" s="391"/>
      <c r="AH17" s="391"/>
      <c r="AI17" s="391"/>
      <c r="AJ17" s="391"/>
      <c r="AK17" s="677">
        <f t="shared" si="15"/>
        <v>0</v>
      </c>
      <c r="AL17" s="655"/>
      <c r="AM17" s="655"/>
      <c r="AN17" s="655"/>
      <c r="AO17" s="677">
        <f t="shared" si="16"/>
        <v>0</v>
      </c>
      <c r="AP17" s="655"/>
      <c r="AQ17" s="655"/>
      <c r="AR17" s="655"/>
    </row>
    <row r="18" spans="1:44" ht="73.900000000000006" customHeight="1" x14ac:dyDescent="0.25">
      <c r="A18" s="675" t="s">
        <v>191</v>
      </c>
      <c r="B18" s="1188" t="s">
        <v>730</v>
      </c>
      <c r="C18" s="676" t="s">
        <v>463</v>
      </c>
      <c r="D18" s="655"/>
      <c r="E18" s="685">
        <f t="shared" ref="E18:E23" si="18">F18+G18+H18</f>
        <v>3266.2147799999998</v>
      </c>
      <c r="F18" s="648">
        <f t="shared" ref="F18:G22" si="19">J18+N18+R18+V18+Z18+AD18+AH18+AL18+AP18</f>
        <v>0</v>
      </c>
      <c r="G18" s="648">
        <f t="shared" si="19"/>
        <v>0</v>
      </c>
      <c r="H18" s="648">
        <f t="shared" si="17"/>
        <v>3266.2147799999998</v>
      </c>
      <c r="I18" s="837"/>
      <c r="J18" s="837"/>
      <c r="K18" s="837"/>
      <c r="L18" s="844"/>
      <c r="M18" s="844"/>
      <c r="N18" s="844"/>
      <c r="O18" s="844"/>
      <c r="P18" s="844"/>
      <c r="Q18" s="838">
        <f>R18+S18+T18</f>
        <v>205.041</v>
      </c>
      <c r="R18" s="837"/>
      <c r="S18" s="837"/>
      <c r="T18" s="838">
        <v>205.041</v>
      </c>
      <c r="U18" s="836">
        <f t="shared" si="9"/>
        <v>1512</v>
      </c>
      <c r="V18" s="844"/>
      <c r="W18" s="844"/>
      <c r="X18" s="1176">
        <f>1542-30</f>
        <v>1512</v>
      </c>
      <c r="Y18" s="836">
        <f t="shared" si="14"/>
        <v>1272.421</v>
      </c>
      <c r="Z18" s="844"/>
      <c r="AA18" s="844"/>
      <c r="AB18" s="1176">
        <f>1388-115.579</f>
        <v>1272.421</v>
      </c>
      <c r="AC18" s="672">
        <f t="shared" si="12"/>
        <v>198.15278000000001</v>
      </c>
      <c r="AD18" s="655"/>
      <c r="AE18" s="655"/>
      <c r="AF18" s="677">
        <f>198.85278-0.7</f>
        <v>198.15278000000001</v>
      </c>
      <c r="AG18" s="677">
        <f t="shared" ref="AG18:AG23" si="20">AH18+AI18+AJ18</f>
        <v>78.599999999999994</v>
      </c>
      <c r="AH18" s="677"/>
      <c r="AI18" s="677"/>
      <c r="AJ18" s="677">
        <f>6+72.6</f>
        <v>78.599999999999994</v>
      </c>
      <c r="AK18" s="677">
        <f t="shared" si="15"/>
        <v>0</v>
      </c>
      <c r="AL18" s="655"/>
      <c r="AM18" s="655"/>
      <c r="AN18" s="655"/>
      <c r="AO18" s="677">
        <f t="shared" si="16"/>
        <v>0</v>
      </c>
      <c r="AP18" s="655"/>
      <c r="AQ18" s="655"/>
      <c r="AR18" s="655"/>
    </row>
    <row r="19" spans="1:44" ht="57" customHeight="1" x14ac:dyDescent="0.25">
      <c r="A19" s="675" t="s">
        <v>193</v>
      </c>
      <c r="B19" s="1188" t="s">
        <v>731</v>
      </c>
      <c r="C19" s="676" t="s">
        <v>322</v>
      </c>
      <c r="D19" s="655"/>
      <c r="E19" s="685">
        <f t="shared" si="18"/>
        <v>1078.17922</v>
      </c>
      <c r="F19" s="648">
        <f t="shared" si="19"/>
        <v>0</v>
      </c>
      <c r="G19" s="648">
        <f t="shared" si="19"/>
        <v>0</v>
      </c>
      <c r="H19" s="648">
        <f t="shared" si="17"/>
        <v>1078.17922</v>
      </c>
      <c r="I19" s="837"/>
      <c r="J19" s="837"/>
      <c r="K19" s="837"/>
      <c r="L19" s="844"/>
      <c r="M19" s="844"/>
      <c r="N19" s="844"/>
      <c r="O19" s="844"/>
      <c r="P19" s="844"/>
      <c r="Q19" s="838"/>
      <c r="R19" s="837"/>
      <c r="S19" s="837"/>
      <c r="T19" s="838"/>
      <c r="U19" s="836">
        <f t="shared" si="9"/>
        <v>167.57921999999999</v>
      </c>
      <c r="V19" s="844"/>
      <c r="W19" s="844"/>
      <c r="X19" s="1176">
        <f>150-28.97+16.54922+30</f>
        <v>167.57921999999999</v>
      </c>
      <c r="Y19" s="836">
        <f t="shared" si="14"/>
        <v>425.6</v>
      </c>
      <c r="Z19" s="844"/>
      <c r="AA19" s="844"/>
      <c r="AB19" s="1176">
        <f>215.6+60+30+90+30</f>
        <v>425.6</v>
      </c>
      <c r="AC19" s="672">
        <f t="shared" si="12"/>
        <v>115</v>
      </c>
      <c r="AD19" s="655"/>
      <c r="AE19" s="655"/>
      <c r="AF19" s="677">
        <f>450-320+10-25</f>
        <v>115</v>
      </c>
      <c r="AG19" s="677">
        <f t="shared" si="20"/>
        <v>370</v>
      </c>
      <c r="AH19" s="655"/>
      <c r="AI19" s="655"/>
      <c r="AJ19" s="677">
        <f>125+85+90+70</f>
        <v>370</v>
      </c>
      <c r="AK19" s="677">
        <f t="shared" si="15"/>
        <v>0</v>
      </c>
      <c r="AL19" s="655"/>
      <c r="AM19" s="655"/>
      <c r="AN19" s="655">
        <v>0</v>
      </c>
      <c r="AO19" s="677">
        <f t="shared" si="16"/>
        <v>0</v>
      </c>
      <c r="AP19" s="655"/>
      <c r="AQ19" s="655"/>
      <c r="AR19" s="655"/>
    </row>
    <row r="20" spans="1:44" ht="45" customHeight="1" x14ac:dyDescent="0.25">
      <c r="A20" s="675" t="s">
        <v>235</v>
      </c>
      <c r="B20" s="676" t="s">
        <v>732</v>
      </c>
      <c r="C20" s="676" t="s">
        <v>664</v>
      </c>
      <c r="D20" s="655"/>
      <c r="E20" s="685">
        <f t="shared" si="18"/>
        <v>1334.8</v>
      </c>
      <c r="F20" s="648">
        <f t="shared" si="19"/>
        <v>0</v>
      </c>
      <c r="G20" s="648">
        <f t="shared" si="19"/>
        <v>0</v>
      </c>
      <c r="H20" s="648">
        <f t="shared" si="17"/>
        <v>1334.8</v>
      </c>
      <c r="I20" s="837"/>
      <c r="J20" s="837"/>
      <c r="K20" s="837"/>
      <c r="L20" s="844"/>
      <c r="M20" s="844"/>
      <c r="N20" s="844"/>
      <c r="O20" s="844"/>
      <c r="P20" s="844"/>
      <c r="Q20" s="844"/>
      <c r="R20" s="844"/>
      <c r="S20" s="844"/>
      <c r="T20" s="844"/>
      <c r="U20" s="836">
        <f t="shared" si="9"/>
        <v>1194.8</v>
      </c>
      <c r="V20" s="844"/>
      <c r="W20" s="844"/>
      <c r="X20" s="1176">
        <v>1194.8</v>
      </c>
      <c r="Y20" s="836">
        <f t="shared" si="14"/>
        <v>0</v>
      </c>
      <c r="Z20" s="844"/>
      <c r="AA20" s="844"/>
      <c r="AB20" s="844"/>
      <c r="AC20" s="672">
        <f t="shared" si="12"/>
        <v>140</v>
      </c>
      <c r="AD20" s="655"/>
      <c r="AE20" s="655"/>
      <c r="AF20" s="677">
        <v>140</v>
      </c>
      <c r="AG20" s="677">
        <f t="shared" si="20"/>
        <v>0</v>
      </c>
      <c r="AH20" s="655"/>
      <c r="AI20" s="655"/>
      <c r="AJ20" s="655"/>
      <c r="AK20" s="677">
        <f t="shared" si="15"/>
        <v>0</v>
      </c>
      <c r="AL20" s="655"/>
      <c r="AM20" s="655"/>
      <c r="AN20" s="655"/>
      <c r="AO20" s="677">
        <f t="shared" si="16"/>
        <v>0</v>
      </c>
      <c r="AP20" s="655"/>
      <c r="AQ20" s="655"/>
      <c r="AR20" s="655"/>
    </row>
    <row r="21" spans="1:44" ht="45" customHeight="1" x14ac:dyDescent="0.25">
      <c r="A21" s="686" t="s">
        <v>455</v>
      </c>
      <c r="B21" s="1189" t="s">
        <v>733</v>
      </c>
      <c r="C21" s="670" t="s">
        <v>562</v>
      </c>
      <c r="D21" s="655"/>
      <c r="E21" s="685">
        <f t="shared" si="18"/>
        <v>341.9</v>
      </c>
      <c r="F21" s="648">
        <f t="shared" si="19"/>
        <v>0</v>
      </c>
      <c r="G21" s="648">
        <f t="shared" si="19"/>
        <v>0</v>
      </c>
      <c r="H21" s="648">
        <f t="shared" si="17"/>
        <v>341.9</v>
      </c>
      <c r="I21" s="837"/>
      <c r="J21" s="837"/>
      <c r="K21" s="837"/>
      <c r="L21" s="844"/>
      <c r="M21" s="844"/>
      <c r="N21" s="844"/>
      <c r="O21" s="844"/>
      <c r="P21" s="844"/>
      <c r="Q21" s="844"/>
      <c r="R21" s="844"/>
      <c r="S21" s="844"/>
      <c r="T21" s="844"/>
      <c r="U21" s="836">
        <f t="shared" si="9"/>
        <v>41.9</v>
      </c>
      <c r="V21" s="844"/>
      <c r="W21" s="844"/>
      <c r="X21" s="1176">
        <v>41.9</v>
      </c>
      <c r="Y21" s="836">
        <f t="shared" si="14"/>
        <v>60</v>
      </c>
      <c r="Z21" s="844"/>
      <c r="AA21" s="844"/>
      <c r="AB21" s="1176">
        <v>60</v>
      </c>
      <c r="AC21" s="672">
        <f t="shared" si="12"/>
        <v>60</v>
      </c>
      <c r="AD21" s="655"/>
      <c r="AE21" s="655"/>
      <c r="AF21" s="677">
        <v>60</v>
      </c>
      <c r="AG21" s="677">
        <f t="shared" si="20"/>
        <v>60</v>
      </c>
      <c r="AH21" s="655"/>
      <c r="AI21" s="655"/>
      <c r="AJ21" s="677">
        <v>60</v>
      </c>
      <c r="AK21" s="677">
        <f t="shared" si="15"/>
        <v>60</v>
      </c>
      <c r="AL21" s="655"/>
      <c r="AM21" s="655"/>
      <c r="AN21" s="655">
        <v>60</v>
      </c>
      <c r="AO21" s="677">
        <f t="shared" si="16"/>
        <v>60</v>
      </c>
      <c r="AP21" s="655"/>
      <c r="AQ21" s="655"/>
      <c r="AR21" s="655">
        <v>60</v>
      </c>
    </row>
    <row r="22" spans="1:44" ht="45" x14ac:dyDescent="0.25">
      <c r="A22" s="1145" t="s">
        <v>555</v>
      </c>
      <c r="B22" s="1190" t="s">
        <v>734</v>
      </c>
      <c r="C22" s="655" t="s">
        <v>463</v>
      </c>
      <c r="D22" s="655"/>
      <c r="E22" s="685">
        <f t="shared" si="18"/>
        <v>2294.57494</v>
      </c>
      <c r="F22" s="648">
        <f t="shared" si="19"/>
        <v>0</v>
      </c>
      <c r="G22" s="648">
        <f t="shared" si="19"/>
        <v>0</v>
      </c>
      <c r="H22" s="648">
        <f t="shared" si="17"/>
        <v>2294.57494</v>
      </c>
      <c r="I22" s="673"/>
      <c r="J22" s="673"/>
      <c r="K22" s="673"/>
      <c r="L22" s="655"/>
      <c r="M22" s="655"/>
      <c r="N22" s="655"/>
      <c r="O22" s="655"/>
      <c r="P22" s="655"/>
      <c r="Q22" s="655"/>
      <c r="R22" s="655"/>
      <c r="S22" s="655"/>
      <c r="T22" s="655"/>
      <c r="U22" s="844"/>
      <c r="V22" s="844"/>
      <c r="W22" s="844"/>
      <c r="X22" s="844"/>
      <c r="Y22" s="844"/>
      <c r="Z22" s="844"/>
      <c r="AA22" s="844"/>
      <c r="AB22" s="844"/>
      <c r="AC22" s="672">
        <f t="shared" si="12"/>
        <v>180.17494000000002</v>
      </c>
      <c r="AD22" s="655"/>
      <c r="AE22" s="655"/>
      <c r="AF22" s="677">
        <f>284.92772-198.85278+94.1</f>
        <v>180.17494000000002</v>
      </c>
      <c r="AG22" s="677">
        <f t="shared" si="20"/>
        <v>2114.4</v>
      </c>
      <c r="AH22" s="655"/>
      <c r="AI22" s="655"/>
      <c r="AJ22" s="655">
        <v>2114.4</v>
      </c>
      <c r="AK22" s="655"/>
      <c r="AL22" s="655"/>
      <c r="AM22" s="655"/>
      <c r="AN22" s="655"/>
      <c r="AO22" s="655"/>
      <c r="AP22" s="655"/>
      <c r="AQ22" s="655"/>
      <c r="AR22" s="655"/>
    </row>
    <row r="23" spans="1:44" ht="45.75" customHeight="1" x14ac:dyDescent="0.25">
      <c r="A23" s="675" t="s">
        <v>711</v>
      </c>
      <c r="B23" s="1516" t="s">
        <v>783</v>
      </c>
      <c r="C23" s="930" t="s">
        <v>795</v>
      </c>
      <c r="D23" s="16"/>
      <c r="E23" s="685">
        <f t="shared" si="18"/>
        <v>3525.2</v>
      </c>
      <c r="F23" s="16"/>
      <c r="G23" s="16"/>
      <c r="H23" s="648">
        <f t="shared" si="17"/>
        <v>3525.2</v>
      </c>
      <c r="I23" s="890"/>
      <c r="J23" s="890"/>
      <c r="K23" s="890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391">
        <f t="shared" si="20"/>
        <v>3525.2</v>
      </c>
      <c r="AH23" s="16"/>
      <c r="AI23" s="16"/>
      <c r="AJ23" s="16">
        <f>3525.2</f>
        <v>3525.2</v>
      </c>
      <c r="AK23" s="16"/>
      <c r="AL23" s="16"/>
      <c r="AM23" s="16"/>
      <c r="AN23" s="16"/>
      <c r="AO23" s="16"/>
      <c r="AP23" s="16"/>
      <c r="AQ23" s="16"/>
      <c r="AR23" s="16"/>
    </row>
  </sheetData>
  <mergeCells count="14">
    <mergeCell ref="AO4:AR4"/>
    <mergeCell ref="A14:A15"/>
    <mergeCell ref="B14:B15"/>
    <mergeCell ref="AK4:AN4"/>
    <mergeCell ref="H1:X1"/>
    <mergeCell ref="B2:X2"/>
    <mergeCell ref="E4:H4"/>
    <mergeCell ref="I4:L4"/>
    <mergeCell ref="M4:P4"/>
    <mergeCell ref="Q4:T4"/>
    <mergeCell ref="U4:X4"/>
    <mergeCell ref="AG4:AJ4"/>
    <mergeCell ref="AC4:AF4"/>
    <mergeCell ref="Y4:AB4"/>
  </mergeCells>
  <pageMargins left="0" right="0" top="0.74803149606299213" bottom="0.74803149606299213" header="0.31496062992125984" footer="0.31496062992125984"/>
  <pageSetup paperSize="9" scale="39" orientation="landscape" r:id="rId1"/>
  <colBreaks count="1" manualBreakCount="1">
    <brk id="44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R33"/>
  <sheetViews>
    <sheetView zoomScaleNormal="100" zoomScaleSheetLayoutView="78" workbookViewId="0">
      <pane xSplit="2" ySplit="4" topLeftCell="AB19" activePane="bottomRight" state="frozen"/>
      <selection pane="topRight" activeCell="C1" sqref="C1"/>
      <selection pane="bottomLeft" activeCell="A5" sqref="A5"/>
      <selection pane="bottomRight" activeCell="BA23" sqref="BA23"/>
    </sheetView>
  </sheetViews>
  <sheetFormatPr defaultColWidth="8.85546875" defaultRowHeight="15" x14ac:dyDescent="0.25"/>
  <cols>
    <col min="1" max="1" width="7.5703125" style="323" customWidth="1"/>
    <col min="2" max="2" width="40.28515625" style="30" customWidth="1"/>
    <col min="3" max="3" width="13.140625" style="30" customWidth="1"/>
    <col min="4" max="4" width="9.7109375" style="30" hidden="1" customWidth="1"/>
    <col min="5" max="5" width="7.85546875" style="30" customWidth="1"/>
    <col min="6" max="6" width="5.7109375" style="30" customWidth="1"/>
    <col min="7" max="7" width="5" style="30" customWidth="1"/>
    <col min="8" max="8" width="8.140625" style="290" customWidth="1"/>
    <col min="9" max="9" width="6.7109375" style="290" customWidth="1"/>
    <col min="10" max="11" width="3.140625" style="290" customWidth="1"/>
    <col min="12" max="12" width="6.28515625" style="30" customWidth="1"/>
    <col min="13" max="13" width="5.5703125" style="30" customWidth="1"/>
    <col min="14" max="14" width="2.5703125" style="30" customWidth="1"/>
    <col min="15" max="15" width="3" style="30" customWidth="1"/>
    <col min="16" max="16" width="5.140625" style="30" customWidth="1"/>
    <col min="17" max="17" width="6" style="30" customWidth="1"/>
    <col min="18" max="18" width="3.140625" style="30" customWidth="1"/>
    <col min="19" max="19" width="2.85546875" style="30" customWidth="1"/>
    <col min="20" max="20" width="6.85546875" style="30" customWidth="1"/>
    <col min="21" max="21" width="6.7109375" style="30" customWidth="1"/>
    <col min="22" max="23" width="2.28515625" style="30" customWidth="1"/>
    <col min="24" max="24" width="7.7109375" style="30" customWidth="1"/>
    <col min="25" max="25" width="6.7109375" style="30" customWidth="1"/>
    <col min="26" max="26" width="3.140625" style="30" customWidth="1"/>
    <col min="27" max="27" width="2.85546875" style="30" customWidth="1"/>
    <col min="28" max="28" width="6.28515625" style="30" customWidth="1"/>
    <col min="29" max="29" width="8.85546875" style="30"/>
    <col min="30" max="30" width="5.85546875" style="30" customWidth="1"/>
    <col min="31" max="31" width="5.28515625" style="30" customWidth="1"/>
    <col min="32" max="33" width="8.85546875" style="30"/>
    <col min="34" max="35" width="5.42578125" style="30" customWidth="1"/>
    <col min="36" max="37" width="8.85546875" style="30"/>
    <col min="38" max="39" width="5.28515625" style="30" customWidth="1"/>
    <col min="40" max="40" width="8.85546875" style="30"/>
    <col min="41" max="41" width="7" style="30" customWidth="1"/>
    <col min="42" max="42" width="4.7109375" style="30" customWidth="1"/>
    <col min="43" max="43" width="3.7109375" style="30" customWidth="1"/>
    <col min="44" max="16384" width="8.85546875" style="30"/>
  </cols>
  <sheetData>
    <row r="1" spans="1:44" ht="14.45" customHeight="1" x14ac:dyDescent="0.25">
      <c r="L1" s="322"/>
      <c r="M1" s="1648" t="s">
        <v>382</v>
      </c>
      <c r="N1" s="1648"/>
      <c r="O1" s="1651"/>
      <c r="P1" s="1651"/>
      <c r="Q1" s="1651"/>
      <c r="R1" s="1651"/>
      <c r="S1" s="1651"/>
      <c r="T1" s="1651"/>
      <c r="U1" s="1651"/>
      <c r="V1" s="1651"/>
      <c r="W1" s="1651"/>
      <c r="X1" s="1651"/>
    </row>
    <row r="2" spans="1:44" ht="18.75" x14ac:dyDescent="0.3">
      <c r="B2" s="1619" t="s">
        <v>383</v>
      </c>
      <c r="C2" s="1619"/>
      <c r="D2" s="1619"/>
      <c r="E2" s="1619"/>
      <c r="F2" s="1619"/>
      <c r="G2" s="1619"/>
      <c r="H2" s="1619"/>
      <c r="I2" s="1619"/>
      <c r="J2" s="1619"/>
      <c r="K2" s="1619"/>
      <c r="L2" s="1652"/>
      <c r="M2" s="1652"/>
      <c r="N2" s="324"/>
    </row>
    <row r="4" spans="1:44" ht="20.45" customHeight="1" x14ac:dyDescent="0.25">
      <c r="A4" s="17"/>
      <c r="B4" s="325" t="s">
        <v>0</v>
      </c>
      <c r="C4" s="293" t="s">
        <v>15</v>
      </c>
      <c r="D4" s="294"/>
      <c r="E4" s="1641" t="s">
        <v>156</v>
      </c>
      <c r="F4" s="1642"/>
      <c r="G4" s="1642"/>
      <c r="H4" s="1643"/>
      <c r="I4" s="1653">
        <v>2014</v>
      </c>
      <c r="J4" s="1654"/>
      <c r="K4" s="1654"/>
      <c r="L4" s="1655"/>
      <c r="M4" s="1584">
        <v>2015</v>
      </c>
      <c r="N4" s="1584"/>
      <c r="O4" s="1584"/>
      <c r="P4" s="1584"/>
      <c r="Q4" s="1584">
        <v>2016</v>
      </c>
      <c r="R4" s="1584"/>
      <c r="S4" s="1584"/>
      <c r="T4" s="1584"/>
      <c r="U4" s="1584">
        <v>2017</v>
      </c>
      <c r="V4" s="1584"/>
      <c r="W4" s="1584"/>
      <c r="X4" s="1584"/>
      <c r="Y4" s="1584">
        <v>2018</v>
      </c>
      <c r="Z4" s="1584"/>
      <c r="AA4" s="1584"/>
      <c r="AB4" s="1584"/>
      <c r="AC4" s="1650">
        <v>2019</v>
      </c>
      <c r="AD4" s="1650"/>
      <c r="AE4" s="1650"/>
      <c r="AF4" s="1650"/>
      <c r="AG4" s="1650">
        <v>2020</v>
      </c>
      <c r="AH4" s="1650"/>
      <c r="AI4" s="1650"/>
      <c r="AJ4" s="1650"/>
      <c r="AK4" s="1641">
        <v>2021</v>
      </c>
      <c r="AL4" s="1642"/>
      <c r="AM4" s="1642"/>
      <c r="AN4" s="1643"/>
      <c r="AO4" s="1641">
        <v>2022</v>
      </c>
      <c r="AP4" s="1642"/>
      <c r="AQ4" s="1642"/>
      <c r="AR4" s="1643"/>
    </row>
    <row r="5" spans="1:44" ht="34.5" customHeight="1" x14ac:dyDescent="0.25">
      <c r="A5" s="1656"/>
      <c r="B5" s="1658" t="s">
        <v>384</v>
      </c>
      <c r="C5" s="1659"/>
      <c r="D5" s="326"/>
      <c r="E5" s="298" t="s">
        <v>145</v>
      </c>
      <c r="F5" s="299" t="s">
        <v>4</v>
      </c>
      <c r="G5" s="300" t="s">
        <v>3</v>
      </c>
      <c r="H5" s="301" t="s">
        <v>5</v>
      </c>
      <c r="I5" s="833" t="s">
        <v>145</v>
      </c>
      <c r="J5" s="834" t="s">
        <v>4</v>
      </c>
      <c r="K5" s="834" t="s">
        <v>3</v>
      </c>
      <c r="L5" s="835" t="s">
        <v>5</v>
      </c>
      <c r="M5" s="835" t="s">
        <v>145</v>
      </c>
      <c r="N5" s="835" t="s">
        <v>4</v>
      </c>
      <c r="O5" s="835" t="s">
        <v>3</v>
      </c>
      <c r="P5" s="835" t="s">
        <v>5</v>
      </c>
      <c r="Q5" s="835" t="s">
        <v>145</v>
      </c>
      <c r="R5" s="835" t="s">
        <v>4</v>
      </c>
      <c r="S5" s="835" t="s">
        <v>3</v>
      </c>
      <c r="T5" s="835" t="s">
        <v>5</v>
      </c>
      <c r="U5" s="835" t="s">
        <v>145</v>
      </c>
      <c r="V5" s="835" t="s">
        <v>4</v>
      </c>
      <c r="W5" s="835" t="s">
        <v>3</v>
      </c>
      <c r="X5" s="835" t="s">
        <v>5</v>
      </c>
      <c r="Y5" s="835" t="s">
        <v>145</v>
      </c>
      <c r="Z5" s="835" t="s">
        <v>4</v>
      </c>
      <c r="AA5" s="835" t="s">
        <v>3</v>
      </c>
      <c r="AB5" s="835" t="s">
        <v>5</v>
      </c>
      <c r="AC5" s="302" t="s">
        <v>145</v>
      </c>
      <c r="AD5" s="302" t="s">
        <v>4</v>
      </c>
      <c r="AE5" s="302" t="s">
        <v>3</v>
      </c>
      <c r="AF5" s="302" t="s">
        <v>5</v>
      </c>
      <c r="AG5" s="302" t="s">
        <v>145</v>
      </c>
      <c r="AH5" s="302" t="s">
        <v>4</v>
      </c>
      <c r="AI5" s="302" t="s">
        <v>3</v>
      </c>
      <c r="AJ5" s="302" t="s">
        <v>5</v>
      </c>
      <c r="AK5" s="302" t="s">
        <v>145</v>
      </c>
      <c r="AL5" s="302" t="s">
        <v>4</v>
      </c>
      <c r="AM5" s="302" t="s">
        <v>3</v>
      </c>
      <c r="AN5" s="302" t="s">
        <v>5</v>
      </c>
      <c r="AO5" s="302" t="s">
        <v>145</v>
      </c>
      <c r="AP5" s="302" t="s">
        <v>4</v>
      </c>
      <c r="AQ5" s="302" t="s">
        <v>3</v>
      </c>
      <c r="AR5" s="302" t="s">
        <v>5</v>
      </c>
    </row>
    <row r="6" spans="1:44" ht="22.5" customHeight="1" x14ac:dyDescent="0.25">
      <c r="A6" s="1657"/>
      <c r="B6" s="1587"/>
      <c r="C6" s="1660"/>
      <c r="D6" s="326"/>
      <c r="E6" s="327">
        <f>F6+G6+H6</f>
        <v>3772.71</v>
      </c>
      <c r="F6" s="328"/>
      <c r="G6" s="329">
        <f>G7+G10</f>
        <v>0</v>
      </c>
      <c r="H6" s="329">
        <f>H7+H10</f>
        <v>3772.71</v>
      </c>
      <c r="I6" s="846">
        <f>J6+K6+L6</f>
        <v>173.5</v>
      </c>
      <c r="J6" s="847"/>
      <c r="K6" s="848">
        <f>K7+K10</f>
        <v>0</v>
      </c>
      <c r="L6" s="848">
        <f>L7+L10</f>
        <v>173.5</v>
      </c>
      <c r="M6" s="846">
        <f>O6+P6</f>
        <v>124</v>
      </c>
      <c r="N6" s="847"/>
      <c r="O6" s="848">
        <f>O7+O10</f>
        <v>0</v>
      </c>
      <c r="P6" s="848">
        <f>P7+P10</f>
        <v>124</v>
      </c>
      <c r="Q6" s="846">
        <f>R6+S6+T6</f>
        <v>136</v>
      </c>
      <c r="R6" s="847"/>
      <c r="S6" s="848">
        <f>S7+S10</f>
        <v>0</v>
      </c>
      <c r="T6" s="848">
        <f>T7+T10</f>
        <v>136</v>
      </c>
      <c r="U6" s="846">
        <f>W6+X6</f>
        <v>300</v>
      </c>
      <c r="V6" s="847"/>
      <c r="W6" s="848">
        <f>W7+W10</f>
        <v>0</v>
      </c>
      <c r="X6" s="848">
        <f>X7+X10</f>
        <v>300</v>
      </c>
      <c r="Y6" s="846">
        <f>AA6+AB6</f>
        <v>611</v>
      </c>
      <c r="Z6" s="847"/>
      <c r="AA6" s="848">
        <f>AA7+AA10</f>
        <v>0</v>
      </c>
      <c r="AB6" s="848">
        <f>AB7+AB10</f>
        <v>611</v>
      </c>
      <c r="AC6" s="1004">
        <f>AE6+AF6</f>
        <v>655.21</v>
      </c>
      <c r="AD6" s="23">
        <f>AD7+AD10</f>
        <v>0</v>
      </c>
      <c r="AE6" s="23">
        <f>AE7+AE10</f>
        <v>0</v>
      </c>
      <c r="AF6" s="1005">
        <f>AF7+AF10</f>
        <v>655.21</v>
      </c>
      <c r="AG6" s="845">
        <f>AH6+AI6+AJ6</f>
        <v>591</v>
      </c>
      <c r="AH6" s="1005">
        <f>AH7+AH10</f>
        <v>0</v>
      </c>
      <c r="AI6" s="1005">
        <f>AI7+AI10</f>
        <v>0</v>
      </c>
      <c r="AJ6" s="1005">
        <f>AJ7+AJ10</f>
        <v>591</v>
      </c>
      <c r="AK6" s="845">
        <f>AL6+AM6+AN6</f>
        <v>591</v>
      </c>
      <c r="AL6" s="1000"/>
      <c r="AM6" s="1000"/>
      <c r="AN6" s="1005">
        <f>AN7+AN10</f>
        <v>591</v>
      </c>
      <c r="AO6" s="845">
        <f>AP6+AQ6+AR6</f>
        <v>591</v>
      </c>
      <c r="AP6" s="1000"/>
      <c r="AQ6" s="1000"/>
      <c r="AR6" s="1005">
        <f>AR7+AR10</f>
        <v>591</v>
      </c>
    </row>
    <row r="7" spans="1:44" ht="37.9" customHeight="1" x14ac:dyDescent="0.25">
      <c r="A7" s="668" t="s">
        <v>185</v>
      </c>
      <c r="B7" s="669" t="s">
        <v>385</v>
      </c>
      <c r="C7" s="680"/>
      <c r="D7" s="680"/>
      <c r="E7" s="681">
        <f>G7+H7</f>
        <v>605.5</v>
      </c>
      <c r="F7" s="681"/>
      <c r="G7" s="682">
        <f>G8</f>
        <v>0</v>
      </c>
      <c r="H7" s="681">
        <f>H8</f>
        <v>605.5</v>
      </c>
      <c r="I7" s="849">
        <f>I8</f>
        <v>45</v>
      </c>
      <c r="J7" s="849"/>
      <c r="K7" s="849">
        <f>K8</f>
        <v>0</v>
      </c>
      <c r="L7" s="849">
        <f>L8</f>
        <v>45</v>
      </c>
      <c r="M7" s="849">
        <f>M8</f>
        <v>59</v>
      </c>
      <c r="N7" s="849"/>
      <c r="O7" s="849">
        <f>O8</f>
        <v>0</v>
      </c>
      <c r="P7" s="849">
        <f>P8</f>
        <v>59</v>
      </c>
      <c r="Q7" s="849">
        <f>Q8</f>
        <v>39</v>
      </c>
      <c r="R7" s="849"/>
      <c r="S7" s="849">
        <f>S8</f>
        <v>0</v>
      </c>
      <c r="T7" s="849">
        <f>T8</f>
        <v>39</v>
      </c>
      <c r="U7" s="849">
        <f>U8</f>
        <v>103</v>
      </c>
      <c r="V7" s="849"/>
      <c r="W7" s="849">
        <f>W8</f>
        <v>0</v>
      </c>
      <c r="X7" s="849">
        <f>X8</f>
        <v>103</v>
      </c>
      <c r="Y7" s="849">
        <f>Y8</f>
        <v>59</v>
      </c>
      <c r="Z7" s="849"/>
      <c r="AA7" s="849">
        <f>AA8</f>
        <v>0</v>
      </c>
      <c r="AB7" s="849">
        <f>AB8</f>
        <v>59</v>
      </c>
      <c r="AC7" s="1006">
        <f>AE7+AF7</f>
        <v>123.5</v>
      </c>
      <c r="AD7" s="1007">
        <f>AD8</f>
        <v>0</v>
      </c>
      <c r="AE7" s="1007">
        <f>AE8</f>
        <v>0</v>
      </c>
      <c r="AF7" s="1007">
        <f>AF8</f>
        <v>123.5</v>
      </c>
      <c r="AG7" s="687">
        <f>AH7+AI7+AJ7</f>
        <v>59</v>
      </c>
      <c r="AH7" s="1007">
        <f>AH8</f>
        <v>0</v>
      </c>
      <c r="AI7" s="1007">
        <f>AI8</f>
        <v>0</v>
      </c>
      <c r="AJ7" s="1007">
        <f>AJ8</f>
        <v>59</v>
      </c>
      <c r="AK7" s="649">
        <f>AL7+AM7+AN7</f>
        <v>59</v>
      </c>
      <c r="AL7" s="649">
        <f>AL8</f>
        <v>0</v>
      </c>
      <c r="AM7" s="649">
        <f>AM8</f>
        <v>0</v>
      </c>
      <c r="AN7" s="649">
        <f>AN8</f>
        <v>59</v>
      </c>
      <c r="AO7" s="649">
        <f>AP7+AQ7+AR7</f>
        <v>59</v>
      </c>
      <c r="AP7" s="649">
        <f>AP8</f>
        <v>0</v>
      </c>
      <c r="AQ7" s="649">
        <f>AQ8</f>
        <v>0</v>
      </c>
      <c r="AR7" s="649">
        <f>AR8</f>
        <v>59</v>
      </c>
    </row>
    <row r="8" spans="1:44" ht="55.15" customHeight="1" x14ac:dyDescent="0.25">
      <c r="A8" s="330" t="s">
        <v>185</v>
      </c>
      <c r="B8" s="331" t="s">
        <v>386</v>
      </c>
      <c r="C8" s="71" t="s">
        <v>565</v>
      </c>
      <c r="D8" s="332"/>
      <c r="E8" s="333">
        <f>G8+H8+F8</f>
        <v>605.5</v>
      </c>
      <c r="F8" s="333">
        <f>J8+N8+R8+V8+Z8+AD8+AH8+AL8+AP8</f>
        <v>0</v>
      </c>
      <c r="G8" s="333">
        <f>K8+O8+S8+W8+AA8+AE8+AI8+AM8+AQ8</f>
        <v>0</v>
      </c>
      <c r="H8" s="333">
        <f>L8+P8+T8+X8+AB8+AF8+AJ8+AN8+AR8</f>
        <v>605.5</v>
      </c>
      <c r="I8" s="850">
        <f>K8+L8</f>
        <v>45</v>
      </c>
      <c r="J8" s="850"/>
      <c r="K8" s="850"/>
      <c r="L8" s="850">
        <f>L9</f>
        <v>45</v>
      </c>
      <c r="M8" s="850">
        <f>O8+P8</f>
        <v>59</v>
      </c>
      <c r="N8" s="850"/>
      <c r="O8" s="850"/>
      <c r="P8" s="850">
        <f>P9</f>
        <v>59</v>
      </c>
      <c r="Q8" s="850">
        <f>S8+T8</f>
        <v>39</v>
      </c>
      <c r="R8" s="850"/>
      <c r="S8" s="850"/>
      <c r="T8" s="850">
        <v>39</v>
      </c>
      <c r="U8" s="850">
        <f>W8+X8</f>
        <v>103</v>
      </c>
      <c r="V8" s="850"/>
      <c r="W8" s="850"/>
      <c r="X8" s="850">
        <f>43+15+45</f>
        <v>103</v>
      </c>
      <c r="Y8" s="850">
        <f>AA8+AB8</f>
        <v>59</v>
      </c>
      <c r="Z8" s="850"/>
      <c r="AA8" s="850"/>
      <c r="AB8" s="850">
        <f>AB9</f>
        <v>59</v>
      </c>
      <c r="AC8" s="683">
        <f t="shared" ref="AC8:AC32" si="0">AE8+AF8</f>
        <v>123.5</v>
      </c>
      <c r="AD8" s="644"/>
      <c r="AE8" s="644"/>
      <c r="AF8" s="333">
        <f>135.5-12</f>
        <v>123.5</v>
      </c>
      <c r="AG8" s="749">
        <f>AH8+AI8+AJ8</f>
        <v>59</v>
      </c>
      <c r="AH8" s="16"/>
      <c r="AI8" s="16"/>
      <c r="AJ8" s="749">
        <v>59</v>
      </c>
      <c r="AK8" s="928">
        <f>AL8+AM8+AN8</f>
        <v>59</v>
      </c>
      <c r="AL8" s="928"/>
      <c r="AM8" s="928"/>
      <c r="AN8" s="928">
        <v>59</v>
      </c>
      <c r="AO8" s="928">
        <f>AP8+AQ8+AR8</f>
        <v>59</v>
      </c>
      <c r="AP8" s="928"/>
      <c r="AQ8" s="928"/>
      <c r="AR8" s="928">
        <v>59</v>
      </c>
    </row>
    <row r="9" spans="1:44" s="340" customFormat="1" ht="54.6" hidden="1" customHeight="1" x14ac:dyDescent="0.25">
      <c r="A9" s="334" t="s">
        <v>6</v>
      </c>
      <c r="B9" s="335" t="s">
        <v>388</v>
      </c>
      <c r="C9" s="336"/>
      <c r="D9" s="337"/>
      <c r="E9" s="338">
        <f>G9+H9+F9</f>
        <v>340</v>
      </c>
      <c r="F9" s="338"/>
      <c r="G9" s="338">
        <f>K9+O9+S9+W9</f>
        <v>0</v>
      </c>
      <c r="H9" s="333">
        <f>L9+P9+T9+X9+AB9+AF9+AJ9+AN9+AR9</f>
        <v>340</v>
      </c>
      <c r="I9" s="851">
        <f>J9+K9+L9</f>
        <v>45</v>
      </c>
      <c r="J9" s="851"/>
      <c r="K9" s="851"/>
      <c r="L9" s="851">
        <v>45</v>
      </c>
      <c r="M9" s="851">
        <f>N9+O9+P9</f>
        <v>59</v>
      </c>
      <c r="N9" s="851"/>
      <c r="O9" s="852"/>
      <c r="P9" s="853">
        <v>59</v>
      </c>
      <c r="Q9" s="851">
        <f>R9+S9+T9</f>
        <v>59</v>
      </c>
      <c r="R9" s="851"/>
      <c r="S9" s="854"/>
      <c r="T9" s="853">
        <v>59</v>
      </c>
      <c r="U9" s="850">
        <f>W9+X9</f>
        <v>59</v>
      </c>
      <c r="V9" s="851"/>
      <c r="W9" s="854"/>
      <c r="X9" s="1175">
        <v>59</v>
      </c>
      <c r="Y9" s="851">
        <f>Z9+AA9+AB9</f>
        <v>59</v>
      </c>
      <c r="Z9" s="851"/>
      <c r="AA9" s="854"/>
      <c r="AB9" s="853">
        <v>59</v>
      </c>
      <c r="AC9" s="628">
        <f t="shared" si="0"/>
        <v>59</v>
      </c>
      <c r="AD9" s="627"/>
      <c r="AE9" s="627"/>
      <c r="AF9" s="339">
        <v>59</v>
      </c>
      <c r="AG9" s="868"/>
      <c r="AH9" s="868"/>
      <c r="AI9" s="868"/>
      <c r="AJ9" s="868"/>
      <c r="AK9" s="928">
        <f t="shared" ref="AK9:AK32" si="1">AL9+AM9+AN9</f>
        <v>0</v>
      </c>
      <c r="AL9" s="1001"/>
      <c r="AM9" s="1001"/>
      <c r="AN9" s="1001"/>
      <c r="AO9" s="928">
        <f t="shared" ref="AO9:AO32" si="2">AP9+AQ9+AR9</f>
        <v>0</v>
      </c>
      <c r="AP9" s="1001"/>
      <c r="AQ9" s="1001"/>
      <c r="AR9" s="1001"/>
    </row>
    <row r="10" spans="1:44" ht="29.25" customHeight="1" x14ac:dyDescent="0.25">
      <c r="A10" s="668" t="s">
        <v>13</v>
      </c>
      <c r="B10" s="669" t="s">
        <v>389</v>
      </c>
      <c r="C10" s="680"/>
      <c r="D10" s="680"/>
      <c r="E10" s="681">
        <f>F10+G10+H10</f>
        <v>3167.21</v>
      </c>
      <c r="F10" s="681">
        <f>J10+N10+R10+V10+Z10+AD10+AH10+AL10+AP10</f>
        <v>0</v>
      </c>
      <c r="G10" s="681">
        <f>K10+O10+S10+W10+AA10+AE10+AI10+AM10+AQ10</f>
        <v>0</v>
      </c>
      <c r="H10" s="681">
        <f>L10+P10+T10+X10+AB10+AF10+AJ10+AN10+AR10</f>
        <v>3167.21</v>
      </c>
      <c r="I10" s="849">
        <f>K10+L10</f>
        <v>128.5</v>
      </c>
      <c r="J10" s="849"/>
      <c r="K10" s="855"/>
      <c r="L10" s="849">
        <f>L11</f>
        <v>128.5</v>
      </c>
      <c r="M10" s="849">
        <f>O10+P10</f>
        <v>65</v>
      </c>
      <c r="N10" s="849"/>
      <c r="O10" s="855"/>
      <c r="P10" s="849">
        <f>P11</f>
        <v>65</v>
      </c>
      <c r="Q10" s="849">
        <f>S10+T10</f>
        <v>97</v>
      </c>
      <c r="R10" s="849"/>
      <c r="S10" s="855"/>
      <c r="T10" s="849">
        <f>T11</f>
        <v>97</v>
      </c>
      <c r="U10" s="849">
        <f>W10+X10</f>
        <v>197</v>
      </c>
      <c r="V10" s="849"/>
      <c r="W10" s="855"/>
      <c r="X10" s="849">
        <f>X11</f>
        <v>197</v>
      </c>
      <c r="Y10" s="849">
        <f>AA10+AB10</f>
        <v>552</v>
      </c>
      <c r="Z10" s="849"/>
      <c r="AA10" s="855"/>
      <c r="AB10" s="849">
        <f>AB16+AB17+AB18+AB19+AB20+AB21+AB22+AB23+AB30+AB31+AB32</f>
        <v>552</v>
      </c>
      <c r="AC10" s="1006">
        <f t="shared" si="0"/>
        <v>531.71</v>
      </c>
      <c r="AD10" s="1008"/>
      <c r="AE10" s="1008"/>
      <c r="AF10" s="1007">
        <f>AF16+AF17+AF18+AF19+AF20+AF21+AF22+AF23+AF30+AF31+AF32</f>
        <v>531.71</v>
      </c>
      <c r="AG10" s="686">
        <f>AH10+AI10+AJ10</f>
        <v>532</v>
      </c>
      <c r="AH10" s="686"/>
      <c r="AI10" s="686"/>
      <c r="AJ10" s="1007">
        <f>AJ16+AJ17+AJ18+AJ19+AJ20+AJ21+AJ22+AJ23+AJ30+AJ31+AJ32</f>
        <v>532</v>
      </c>
      <c r="AK10" s="649">
        <f t="shared" si="1"/>
        <v>532</v>
      </c>
      <c r="AL10" s="649"/>
      <c r="AM10" s="649"/>
      <c r="AN10" s="1007">
        <f>AN16+AN17+AN18+AN19+AN20+AN21+AN22+AN23+AN30+AN31+AN32</f>
        <v>532</v>
      </c>
      <c r="AO10" s="649">
        <f t="shared" si="2"/>
        <v>532</v>
      </c>
      <c r="AP10" s="649"/>
      <c r="AQ10" s="649"/>
      <c r="AR10" s="1007">
        <f>AR16+AR17+AR18+AR19+AR20+AR21+AR22+AR23+AR30+AR31+AR32</f>
        <v>532</v>
      </c>
    </row>
    <row r="11" spans="1:44" ht="73.5" customHeight="1" x14ac:dyDescent="0.25">
      <c r="A11" s="19" t="s">
        <v>13</v>
      </c>
      <c r="B11" s="341" t="s">
        <v>390</v>
      </c>
      <c r="C11" s="342"/>
      <c r="D11" s="342"/>
      <c r="E11" s="343">
        <f>G11+H11+F11</f>
        <v>3167.21</v>
      </c>
      <c r="F11" s="333">
        <f>J11+N11+R11+V11+Z11+AD11+AH11+AL11+AP11</f>
        <v>0</v>
      </c>
      <c r="G11" s="333">
        <f>K11+O11+S11+W11+AA11+AE11+AI11+AM11+AQ11</f>
        <v>0</v>
      </c>
      <c r="H11" s="333">
        <f>L11+P11+T11+X11+AB11+AF11+AJ11+AN11+AR11</f>
        <v>3167.21</v>
      </c>
      <c r="I11" s="856">
        <f>K11+L11+J11</f>
        <v>128.5</v>
      </c>
      <c r="J11" s="856"/>
      <c r="K11" s="857"/>
      <c r="L11" s="856">
        <f>L12</f>
        <v>128.5</v>
      </c>
      <c r="M11" s="856">
        <f>O11+P11+N11</f>
        <v>65</v>
      </c>
      <c r="N11" s="856"/>
      <c r="O11" s="858"/>
      <c r="P11" s="850">
        <f>P12</f>
        <v>65</v>
      </c>
      <c r="Q11" s="850">
        <f>S11+T11+R11</f>
        <v>97</v>
      </c>
      <c r="R11" s="850"/>
      <c r="S11" s="858"/>
      <c r="T11" s="850">
        <f>T12</f>
        <v>97</v>
      </c>
      <c r="U11" s="850">
        <f>W11+X11+V11</f>
        <v>197</v>
      </c>
      <c r="V11" s="850"/>
      <c r="W11" s="858"/>
      <c r="X11" s="850">
        <f>X16+X17+X19+X20+X22+X23+X30</f>
        <v>197</v>
      </c>
      <c r="Y11" s="850">
        <f>AA11+AB11+Z11</f>
        <v>552</v>
      </c>
      <c r="Z11" s="850"/>
      <c r="AA11" s="858"/>
      <c r="AB11" s="850">
        <f>AB12+AB32</f>
        <v>552</v>
      </c>
      <c r="AC11" s="683">
        <f t="shared" si="0"/>
        <v>531.71</v>
      </c>
      <c r="AD11" s="260"/>
      <c r="AE11" s="260"/>
      <c r="AF11" s="333">
        <f>AF12</f>
        <v>531.71</v>
      </c>
      <c r="AG11" s="749">
        <f>AH11+AI11+AJ11</f>
        <v>532</v>
      </c>
      <c r="AH11" s="16"/>
      <c r="AI11" s="16"/>
      <c r="AJ11" s="333">
        <f>AJ12</f>
        <v>532</v>
      </c>
      <c r="AK11" s="928">
        <f t="shared" si="1"/>
        <v>532</v>
      </c>
      <c r="AL11" s="928"/>
      <c r="AM11" s="928"/>
      <c r="AN11" s="333">
        <f>AN12</f>
        <v>532</v>
      </c>
      <c r="AO11" s="928">
        <f t="shared" si="2"/>
        <v>532</v>
      </c>
      <c r="AP11" s="928"/>
      <c r="AQ11" s="928"/>
      <c r="AR11" s="333">
        <v>532</v>
      </c>
    </row>
    <row r="12" spans="1:44" ht="0.75" customHeight="1" x14ac:dyDescent="0.25">
      <c r="A12" s="130" t="s">
        <v>14</v>
      </c>
      <c r="B12" s="305" t="s">
        <v>391</v>
      </c>
      <c r="C12" s="344" t="s">
        <v>387</v>
      </c>
      <c r="D12" s="306"/>
      <c r="E12" s="345">
        <f>G12+H12+F12</f>
        <v>2627.11</v>
      </c>
      <c r="F12" s="345"/>
      <c r="G12" s="345">
        <f>K12+O12+S12+W12</f>
        <v>0</v>
      </c>
      <c r="H12" s="333">
        <f t="shared" ref="H12:H32" si="3">L12+P12+T12+X12+AB12+AF12+AJ12+AN12+AR12</f>
        <v>2627.11</v>
      </c>
      <c r="I12" s="859">
        <f>K12+L12+J12</f>
        <v>128.5</v>
      </c>
      <c r="J12" s="859"/>
      <c r="K12" s="859">
        <f>K16+K17+K18+K19+K20+K21+K22+K23+K29</f>
        <v>0</v>
      </c>
      <c r="L12" s="859">
        <f>L16+L17+L18+L19+L20+L21+L22+L23+L29</f>
        <v>128.5</v>
      </c>
      <c r="M12" s="859">
        <f>O12+P12+N12</f>
        <v>65</v>
      </c>
      <c r="N12" s="859"/>
      <c r="O12" s="850">
        <f>O16+O17+O18+O19+O20+O21+O22+O23+O29</f>
        <v>0</v>
      </c>
      <c r="P12" s="850">
        <f>P16+P17+P18+P19+P20+P21+P22+P23+P29</f>
        <v>65</v>
      </c>
      <c r="Q12" s="850">
        <f>S12+T12+R12</f>
        <v>97</v>
      </c>
      <c r="R12" s="850"/>
      <c r="S12" s="850">
        <f>S16+S17+S18+S19+S20+S21+S22+S23+S29</f>
        <v>0</v>
      </c>
      <c r="T12" s="850">
        <f>T16+T17+T18+T19+T20+T21+T22+T23+T29</f>
        <v>97</v>
      </c>
      <c r="U12" s="850">
        <f>W12+X12+V12</f>
        <v>197</v>
      </c>
      <c r="V12" s="850"/>
      <c r="W12" s="850">
        <f>W16+W17+W18+W19+W20+W21+W22+W23+W29</f>
        <v>0</v>
      </c>
      <c r="X12" s="850">
        <f>X16+X17+X18+X19+X20+X21+X22+X23+X29+X30</f>
        <v>197</v>
      </c>
      <c r="Y12" s="850">
        <f>AA12+AB12+Z12</f>
        <v>543.9</v>
      </c>
      <c r="Z12" s="850"/>
      <c r="AA12" s="850">
        <f>AA16+AA17+AA18+AA19+AA20+AA21+AA22+AA23+AA29</f>
        <v>0</v>
      </c>
      <c r="AB12" s="850">
        <f>AB16+AB17+AB18+AB19+AB20+AB21+AB22+AB23+AB29+AB30+AB31</f>
        <v>543.9</v>
      </c>
      <c r="AC12" s="683">
        <f t="shared" si="0"/>
        <v>531.71</v>
      </c>
      <c r="AD12" s="260"/>
      <c r="AE12" s="260"/>
      <c r="AF12" s="333">
        <f>AF16+AF17+AF18+AF19+AF20+AF21+AF22+AF23+AF29+AF30+AF31+AF32</f>
        <v>531.71</v>
      </c>
      <c r="AG12" s="749">
        <f>AH12+AI12+AJ12</f>
        <v>532</v>
      </c>
      <c r="AH12" s="16"/>
      <c r="AI12" s="16"/>
      <c r="AJ12" s="333">
        <f>AJ16+AJ17+AJ18+AJ19+AJ20+AJ21+AJ22+AJ23+AJ29+AJ30+AJ31+AJ32</f>
        <v>532</v>
      </c>
      <c r="AK12" s="928">
        <f t="shared" si="1"/>
        <v>532</v>
      </c>
      <c r="AL12" s="928"/>
      <c r="AM12" s="928"/>
      <c r="AN12" s="333">
        <f>AN16+AN17+AN18+AN19+AN20+AN21+AN22+AN23+AN29+AN30+AN31+AN32</f>
        <v>532</v>
      </c>
      <c r="AO12" s="928">
        <f t="shared" si="2"/>
        <v>0</v>
      </c>
      <c r="AP12" s="928"/>
      <c r="AQ12" s="928"/>
      <c r="AR12" s="333"/>
    </row>
    <row r="13" spans="1:44" ht="24.75" hidden="1" customHeight="1" x14ac:dyDescent="0.25">
      <c r="A13" s="17"/>
      <c r="B13" s="346" t="s">
        <v>392</v>
      </c>
      <c r="C13" s="347"/>
      <c r="D13" s="346"/>
      <c r="E13" s="346"/>
      <c r="F13" s="346"/>
      <c r="G13" s="348"/>
      <c r="H13" s="333">
        <f t="shared" si="3"/>
        <v>0</v>
      </c>
      <c r="I13" s="856"/>
      <c r="J13" s="856"/>
      <c r="K13" s="856"/>
      <c r="L13" s="856"/>
      <c r="M13" s="860"/>
      <c r="N13" s="860"/>
      <c r="O13" s="861"/>
      <c r="P13" s="861"/>
      <c r="Q13" s="861"/>
      <c r="R13" s="861"/>
      <c r="S13" s="861"/>
      <c r="T13" s="861"/>
      <c r="U13" s="861"/>
      <c r="V13" s="861"/>
      <c r="W13" s="861"/>
      <c r="X13" s="861"/>
      <c r="Y13" s="861"/>
      <c r="Z13" s="861"/>
      <c r="AA13" s="861"/>
      <c r="AB13" s="861"/>
      <c r="AC13" s="683">
        <f t="shared" si="0"/>
        <v>0</v>
      </c>
      <c r="AD13" s="260"/>
      <c r="AE13" s="260"/>
      <c r="AF13" s="260"/>
      <c r="AG13" s="16"/>
      <c r="AH13" s="16"/>
      <c r="AI13" s="16"/>
      <c r="AJ13" s="16"/>
      <c r="AK13" s="928">
        <f t="shared" si="1"/>
        <v>0</v>
      </c>
      <c r="AL13" s="928"/>
      <c r="AM13" s="928"/>
      <c r="AN13" s="928"/>
      <c r="AO13" s="928">
        <f t="shared" si="2"/>
        <v>0</v>
      </c>
      <c r="AP13" s="928"/>
      <c r="AQ13" s="928"/>
      <c r="AR13" s="928"/>
    </row>
    <row r="14" spans="1:44" ht="20.25" hidden="1" customHeight="1" x14ac:dyDescent="0.25">
      <c r="A14" s="17"/>
      <c r="B14" s="346" t="s">
        <v>393</v>
      </c>
      <c r="C14" s="347"/>
      <c r="D14" s="346"/>
      <c r="E14" s="346"/>
      <c r="F14" s="346"/>
      <c r="G14" s="348"/>
      <c r="H14" s="333">
        <f t="shared" si="3"/>
        <v>0</v>
      </c>
      <c r="I14" s="856"/>
      <c r="J14" s="856"/>
      <c r="K14" s="856"/>
      <c r="L14" s="856"/>
      <c r="M14" s="860"/>
      <c r="N14" s="860"/>
      <c r="O14" s="861"/>
      <c r="P14" s="861"/>
      <c r="Q14" s="861"/>
      <c r="R14" s="861"/>
      <c r="S14" s="861"/>
      <c r="T14" s="861"/>
      <c r="U14" s="861"/>
      <c r="V14" s="861"/>
      <c r="W14" s="861"/>
      <c r="X14" s="861"/>
      <c r="Y14" s="861"/>
      <c r="Z14" s="861"/>
      <c r="AA14" s="861"/>
      <c r="AB14" s="861"/>
      <c r="AC14" s="683">
        <f t="shared" si="0"/>
        <v>0</v>
      </c>
      <c r="AD14" s="260"/>
      <c r="AE14" s="260"/>
      <c r="AF14" s="260"/>
      <c r="AG14" s="16"/>
      <c r="AH14" s="16"/>
      <c r="AI14" s="16"/>
      <c r="AJ14" s="16"/>
      <c r="AK14" s="928">
        <f t="shared" si="1"/>
        <v>0</v>
      </c>
      <c r="AL14" s="928"/>
      <c r="AM14" s="928"/>
      <c r="AN14" s="928"/>
      <c r="AO14" s="928">
        <f t="shared" si="2"/>
        <v>0</v>
      </c>
      <c r="AP14" s="928"/>
      <c r="AQ14" s="928"/>
      <c r="AR14" s="928"/>
    </row>
    <row r="15" spans="1:44" ht="15" hidden="1" customHeight="1" x14ac:dyDescent="0.25">
      <c r="A15" s="17"/>
      <c r="B15" s="346" t="s">
        <v>394</v>
      </c>
      <c r="C15" s="347"/>
      <c r="D15" s="346"/>
      <c r="E15" s="346"/>
      <c r="F15" s="346"/>
      <c r="G15" s="348"/>
      <c r="H15" s="333">
        <f t="shared" si="3"/>
        <v>0</v>
      </c>
      <c r="I15" s="856"/>
      <c r="J15" s="856"/>
      <c r="K15" s="856"/>
      <c r="L15" s="856"/>
      <c r="M15" s="860"/>
      <c r="N15" s="860"/>
      <c r="O15" s="861"/>
      <c r="P15" s="861"/>
      <c r="Q15" s="861"/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1"/>
      <c r="AC15" s="683">
        <f t="shared" si="0"/>
        <v>0</v>
      </c>
      <c r="AD15" s="260"/>
      <c r="AE15" s="260"/>
      <c r="AF15" s="260"/>
      <c r="AG15" s="16"/>
      <c r="AH15" s="16"/>
      <c r="AI15" s="16"/>
      <c r="AJ15" s="16"/>
      <c r="AK15" s="928">
        <f t="shared" si="1"/>
        <v>0</v>
      </c>
      <c r="AL15" s="928"/>
      <c r="AM15" s="928"/>
      <c r="AN15" s="928"/>
      <c r="AO15" s="928">
        <f t="shared" si="2"/>
        <v>0</v>
      </c>
      <c r="AP15" s="928"/>
      <c r="AQ15" s="928"/>
      <c r="AR15" s="928"/>
    </row>
    <row r="16" spans="1:44" ht="42" customHeight="1" x14ac:dyDescent="0.25">
      <c r="A16" s="17"/>
      <c r="B16" s="349" t="s">
        <v>395</v>
      </c>
      <c r="C16" s="347" t="s">
        <v>566</v>
      </c>
      <c r="D16" s="350">
        <v>7950043</v>
      </c>
      <c r="E16" s="333">
        <f t="shared" ref="E16:E23" si="4">G16+H16</f>
        <v>140</v>
      </c>
      <c r="F16" s="333">
        <f t="shared" ref="F16:G23" si="5">J16+N16+R16+V16+Z16+AD16+AH16</f>
        <v>0</v>
      </c>
      <c r="G16" s="333">
        <f t="shared" si="5"/>
        <v>0</v>
      </c>
      <c r="H16" s="333">
        <f t="shared" si="3"/>
        <v>140</v>
      </c>
      <c r="I16" s="850">
        <f t="shared" ref="I16:I23" si="6">K16+L16</f>
        <v>10</v>
      </c>
      <c r="J16" s="850"/>
      <c r="K16" s="862"/>
      <c r="L16" s="862">
        <v>10</v>
      </c>
      <c r="M16" s="850">
        <f t="shared" ref="M16:M23" si="7">O16+P16</f>
        <v>10</v>
      </c>
      <c r="N16" s="850"/>
      <c r="O16" s="861"/>
      <c r="P16" s="841">
        <v>10</v>
      </c>
      <c r="Q16" s="850">
        <f t="shared" ref="Q16:Q23" si="8">S16+T16</f>
        <v>10</v>
      </c>
      <c r="R16" s="850"/>
      <c r="S16" s="863"/>
      <c r="T16" s="841">
        <v>10</v>
      </c>
      <c r="U16" s="850">
        <f t="shared" ref="U16:U23" si="9">W16+X16</f>
        <v>10</v>
      </c>
      <c r="V16" s="850"/>
      <c r="W16" s="863"/>
      <c r="X16" s="841">
        <v>10</v>
      </c>
      <c r="Y16" s="850">
        <f t="shared" ref="Y16:Y23" si="10">AA16+AB16</f>
        <v>20</v>
      </c>
      <c r="Z16" s="850"/>
      <c r="AA16" s="863"/>
      <c r="AB16" s="841">
        <v>20</v>
      </c>
      <c r="AC16" s="683">
        <f t="shared" si="0"/>
        <v>20</v>
      </c>
      <c r="AD16" s="260"/>
      <c r="AE16" s="260"/>
      <c r="AF16" s="643">
        <v>20</v>
      </c>
      <c r="AG16" s="749">
        <f>AH16+AI16+AJ16</f>
        <v>20</v>
      </c>
      <c r="AH16" s="749"/>
      <c r="AI16" s="749"/>
      <c r="AJ16" s="749">
        <v>20</v>
      </c>
      <c r="AK16" s="928">
        <f t="shared" si="1"/>
        <v>20</v>
      </c>
      <c r="AL16" s="928"/>
      <c r="AM16" s="928"/>
      <c r="AN16" s="928">
        <v>20</v>
      </c>
      <c r="AO16" s="928">
        <f t="shared" si="2"/>
        <v>20</v>
      </c>
      <c r="AP16" s="928"/>
      <c r="AQ16" s="928"/>
      <c r="AR16" s="928">
        <v>20</v>
      </c>
    </row>
    <row r="17" spans="1:44" ht="42" customHeight="1" x14ac:dyDescent="0.25">
      <c r="A17" s="17"/>
      <c r="B17" s="349" t="s">
        <v>396</v>
      </c>
      <c r="C17" s="347" t="s">
        <v>567</v>
      </c>
      <c r="D17" s="350">
        <v>7950043</v>
      </c>
      <c r="E17" s="333">
        <f t="shared" si="4"/>
        <v>550</v>
      </c>
      <c r="F17" s="333">
        <f t="shared" si="5"/>
        <v>0</v>
      </c>
      <c r="G17" s="333">
        <f t="shared" si="5"/>
        <v>0</v>
      </c>
      <c r="H17" s="333">
        <f t="shared" si="3"/>
        <v>550</v>
      </c>
      <c r="I17" s="850">
        <f t="shared" si="6"/>
        <v>50</v>
      </c>
      <c r="J17" s="850"/>
      <c r="K17" s="862"/>
      <c r="L17" s="862">
        <v>50</v>
      </c>
      <c r="M17" s="850">
        <f t="shared" si="7"/>
        <v>50</v>
      </c>
      <c r="N17" s="850"/>
      <c r="O17" s="861"/>
      <c r="P17" s="841">
        <v>50</v>
      </c>
      <c r="Q17" s="850">
        <f t="shared" si="8"/>
        <v>50</v>
      </c>
      <c r="R17" s="850"/>
      <c r="S17" s="863"/>
      <c r="T17" s="841">
        <v>50</v>
      </c>
      <c r="U17" s="850">
        <f t="shared" si="9"/>
        <v>50</v>
      </c>
      <c r="V17" s="850"/>
      <c r="W17" s="863"/>
      <c r="X17" s="841">
        <v>50</v>
      </c>
      <c r="Y17" s="850">
        <f t="shared" si="10"/>
        <v>70</v>
      </c>
      <c r="Z17" s="850"/>
      <c r="AA17" s="863"/>
      <c r="AB17" s="841">
        <v>70</v>
      </c>
      <c r="AC17" s="683">
        <f t="shared" si="0"/>
        <v>70</v>
      </c>
      <c r="AD17" s="260"/>
      <c r="AE17" s="260"/>
      <c r="AF17" s="643">
        <v>70</v>
      </c>
      <c r="AG17" s="749">
        <f t="shared" ref="AG17:AG32" si="11">AH17+AI17+AJ17</f>
        <v>70</v>
      </c>
      <c r="AH17" s="749"/>
      <c r="AI17" s="749"/>
      <c r="AJ17" s="749">
        <v>70</v>
      </c>
      <c r="AK17" s="928">
        <f t="shared" si="1"/>
        <v>70</v>
      </c>
      <c r="AL17" s="928"/>
      <c r="AM17" s="928"/>
      <c r="AN17" s="928">
        <v>70</v>
      </c>
      <c r="AO17" s="928">
        <f t="shared" si="2"/>
        <v>70</v>
      </c>
      <c r="AP17" s="928"/>
      <c r="AQ17" s="928"/>
      <c r="AR17" s="928">
        <v>70</v>
      </c>
    </row>
    <row r="18" spans="1:44" ht="51" x14ac:dyDescent="0.25">
      <c r="A18" s="17"/>
      <c r="B18" s="349" t="s">
        <v>397</v>
      </c>
      <c r="C18" s="347" t="s">
        <v>568</v>
      </c>
      <c r="D18" s="350">
        <v>7950043</v>
      </c>
      <c r="E18" s="333">
        <f t="shared" si="4"/>
        <v>1.5</v>
      </c>
      <c r="F18" s="333">
        <f t="shared" si="5"/>
        <v>0</v>
      </c>
      <c r="G18" s="333">
        <f t="shared" si="5"/>
        <v>0</v>
      </c>
      <c r="H18" s="333">
        <f t="shared" si="3"/>
        <v>1.5</v>
      </c>
      <c r="I18" s="850">
        <f t="shared" si="6"/>
        <v>1.5</v>
      </c>
      <c r="J18" s="850"/>
      <c r="K18" s="862"/>
      <c r="L18" s="862">
        <v>1.5</v>
      </c>
      <c r="M18" s="850">
        <f t="shared" si="7"/>
        <v>0</v>
      </c>
      <c r="N18" s="850"/>
      <c r="O18" s="861"/>
      <c r="P18" s="861"/>
      <c r="Q18" s="850">
        <f t="shared" si="8"/>
        <v>0</v>
      </c>
      <c r="R18" s="850"/>
      <c r="S18" s="861"/>
      <c r="T18" s="861"/>
      <c r="U18" s="850">
        <f t="shared" si="9"/>
        <v>0</v>
      </c>
      <c r="V18" s="850"/>
      <c r="W18" s="861"/>
      <c r="X18" s="861"/>
      <c r="Y18" s="850">
        <f t="shared" si="10"/>
        <v>0</v>
      </c>
      <c r="Z18" s="850"/>
      <c r="AA18" s="861"/>
      <c r="AB18" s="861"/>
      <c r="AC18" s="683">
        <f t="shared" si="0"/>
        <v>0</v>
      </c>
      <c r="AD18" s="260"/>
      <c r="AE18" s="260"/>
      <c r="AF18" s="260"/>
      <c r="AG18" s="749">
        <f t="shared" si="11"/>
        <v>0</v>
      </c>
      <c r="AH18" s="749"/>
      <c r="AI18" s="749"/>
      <c r="AJ18" s="749"/>
      <c r="AK18" s="928">
        <f t="shared" si="1"/>
        <v>0</v>
      </c>
      <c r="AL18" s="928"/>
      <c r="AM18" s="928"/>
      <c r="AN18" s="928"/>
      <c r="AO18" s="928">
        <f t="shared" si="2"/>
        <v>0</v>
      </c>
      <c r="AP18" s="928"/>
      <c r="AQ18" s="928"/>
      <c r="AR18" s="928"/>
    </row>
    <row r="19" spans="1:44" ht="25.5" x14ac:dyDescent="0.25">
      <c r="A19" s="17"/>
      <c r="B19" s="349" t="s">
        <v>398</v>
      </c>
      <c r="C19" s="347" t="s">
        <v>568</v>
      </c>
      <c r="D19" s="350">
        <v>7950043</v>
      </c>
      <c r="E19" s="333">
        <f t="shared" si="4"/>
        <v>6</v>
      </c>
      <c r="F19" s="333">
        <f t="shared" si="5"/>
        <v>0</v>
      </c>
      <c r="G19" s="333">
        <f t="shared" si="5"/>
        <v>0</v>
      </c>
      <c r="H19" s="333">
        <f t="shared" si="3"/>
        <v>6</v>
      </c>
      <c r="I19" s="850">
        <f t="shared" si="6"/>
        <v>2</v>
      </c>
      <c r="J19" s="850"/>
      <c r="K19" s="862"/>
      <c r="L19" s="862">
        <v>2</v>
      </c>
      <c r="M19" s="850">
        <f t="shared" si="7"/>
        <v>0</v>
      </c>
      <c r="N19" s="850"/>
      <c r="O19" s="861"/>
      <c r="P19" s="839"/>
      <c r="Q19" s="850">
        <f t="shared" si="8"/>
        <v>2</v>
      </c>
      <c r="R19" s="850"/>
      <c r="S19" s="861"/>
      <c r="T19" s="841">
        <v>2</v>
      </c>
      <c r="U19" s="850">
        <f t="shared" si="9"/>
        <v>2</v>
      </c>
      <c r="V19" s="850"/>
      <c r="W19" s="861"/>
      <c r="X19" s="841">
        <v>2</v>
      </c>
      <c r="Y19" s="850">
        <f t="shared" si="10"/>
        <v>0</v>
      </c>
      <c r="Z19" s="850"/>
      <c r="AA19" s="861"/>
      <c r="AB19" s="841"/>
      <c r="AC19" s="683">
        <f t="shared" si="0"/>
        <v>0</v>
      </c>
      <c r="AD19" s="260"/>
      <c r="AE19" s="260"/>
      <c r="AF19" s="643"/>
      <c r="AG19" s="749">
        <f t="shared" si="11"/>
        <v>0</v>
      </c>
      <c r="AH19" s="749"/>
      <c r="AI19" s="749"/>
      <c r="AJ19" s="749"/>
      <c r="AK19" s="928">
        <f t="shared" si="1"/>
        <v>0</v>
      </c>
      <c r="AL19" s="928"/>
      <c r="AM19" s="928"/>
      <c r="AN19" s="928"/>
      <c r="AO19" s="928">
        <f t="shared" si="2"/>
        <v>0</v>
      </c>
      <c r="AP19" s="928"/>
      <c r="AQ19" s="928"/>
      <c r="AR19" s="928"/>
    </row>
    <row r="20" spans="1:44" ht="89.25" x14ac:dyDescent="0.25">
      <c r="A20" s="17"/>
      <c r="B20" s="349" t="s">
        <v>399</v>
      </c>
      <c r="C20" s="347" t="s">
        <v>568</v>
      </c>
      <c r="D20" s="350">
        <v>7950043</v>
      </c>
      <c r="E20" s="333">
        <f t="shared" si="4"/>
        <v>60</v>
      </c>
      <c r="F20" s="333">
        <f t="shared" si="5"/>
        <v>0</v>
      </c>
      <c r="G20" s="333">
        <f t="shared" si="5"/>
        <v>0</v>
      </c>
      <c r="H20" s="333">
        <f t="shared" si="3"/>
        <v>60</v>
      </c>
      <c r="I20" s="850">
        <f t="shared" si="6"/>
        <v>20</v>
      </c>
      <c r="J20" s="850"/>
      <c r="K20" s="862"/>
      <c r="L20" s="862">
        <v>20</v>
      </c>
      <c r="M20" s="850">
        <f t="shared" si="7"/>
        <v>0</v>
      </c>
      <c r="N20" s="850"/>
      <c r="O20" s="861"/>
      <c r="P20" s="841"/>
      <c r="Q20" s="850">
        <f t="shared" si="8"/>
        <v>20</v>
      </c>
      <c r="R20" s="850"/>
      <c r="S20" s="863"/>
      <c r="T20" s="841">
        <v>20</v>
      </c>
      <c r="U20" s="850">
        <f t="shared" si="9"/>
        <v>20</v>
      </c>
      <c r="V20" s="850"/>
      <c r="W20" s="863"/>
      <c r="X20" s="841">
        <v>20</v>
      </c>
      <c r="Y20" s="850">
        <f t="shared" si="10"/>
        <v>0</v>
      </c>
      <c r="Z20" s="850"/>
      <c r="AA20" s="863"/>
      <c r="AB20" s="841"/>
      <c r="AC20" s="683">
        <f t="shared" si="0"/>
        <v>0</v>
      </c>
      <c r="AD20" s="260"/>
      <c r="AE20" s="260"/>
      <c r="AF20" s="643"/>
      <c r="AG20" s="749">
        <f t="shared" si="11"/>
        <v>0</v>
      </c>
      <c r="AH20" s="749"/>
      <c r="AI20" s="749"/>
      <c r="AJ20" s="749"/>
      <c r="AK20" s="928">
        <f t="shared" si="1"/>
        <v>0</v>
      </c>
      <c r="AL20" s="928"/>
      <c r="AM20" s="928"/>
      <c r="AN20" s="928"/>
      <c r="AO20" s="928">
        <f t="shared" si="2"/>
        <v>0</v>
      </c>
      <c r="AP20" s="928"/>
      <c r="AQ20" s="928"/>
      <c r="AR20" s="928"/>
    </row>
    <row r="21" spans="1:44" ht="51" x14ac:dyDescent="0.25">
      <c r="A21" s="17"/>
      <c r="B21" s="349" t="s">
        <v>400</v>
      </c>
      <c r="C21" s="347" t="s">
        <v>566</v>
      </c>
      <c r="D21" s="350">
        <v>7950043</v>
      </c>
      <c r="E21" s="333">
        <f t="shared" si="4"/>
        <v>5</v>
      </c>
      <c r="F21" s="333">
        <f t="shared" si="5"/>
        <v>0</v>
      </c>
      <c r="G21" s="333">
        <f t="shared" si="5"/>
        <v>0</v>
      </c>
      <c r="H21" s="333">
        <f t="shared" si="3"/>
        <v>5</v>
      </c>
      <c r="I21" s="850">
        <f t="shared" si="6"/>
        <v>5</v>
      </c>
      <c r="J21" s="850"/>
      <c r="K21" s="862"/>
      <c r="L21" s="862">
        <v>5</v>
      </c>
      <c r="M21" s="850">
        <f t="shared" si="7"/>
        <v>0</v>
      </c>
      <c r="N21" s="850"/>
      <c r="O21" s="861"/>
      <c r="P21" s="841"/>
      <c r="Q21" s="850">
        <f t="shared" si="8"/>
        <v>0</v>
      </c>
      <c r="R21" s="850"/>
      <c r="S21" s="863"/>
      <c r="T21" s="841"/>
      <c r="U21" s="850">
        <f t="shared" si="9"/>
        <v>0</v>
      </c>
      <c r="V21" s="850"/>
      <c r="W21" s="863"/>
      <c r="X21" s="841"/>
      <c r="Y21" s="850">
        <f t="shared" si="10"/>
        <v>0</v>
      </c>
      <c r="Z21" s="850"/>
      <c r="AA21" s="863"/>
      <c r="AB21" s="841"/>
      <c r="AC21" s="683">
        <f t="shared" si="0"/>
        <v>0</v>
      </c>
      <c r="AD21" s="260"/>
      <c r="AE21" s="260"/>
      <c r="AF21" s="643"/>
      <c r="AG21" s="749">
        <f t="shared" si="11"/>
        <v>0</v>
      </c>
      <c r="AH21" s="749"/>
      <c r="AI21" s="749"/>
      <c r="AJ21" s="749"/>
      <c r="AK21" s="928">
        <f t="shared" si="1"/>
        <v>0</v>
      </c>
      <c r="AL21" s="928"/>
      <c r="AM21" s="928"/>
      <c r="AN21" s="928"/>
      <c r="AO21" s="928">
        <f t="shared" si="2"/>
        <v>0</v>
      </c>
      <c r="AP21" s="928"/>
      <c r="AQ21" s="928"/>
      <c r="AR21" s="928"/>
    </row>
    <row r="22" spans="1:44" ht="41.45" customHeight="1" x14ac:dyDescent="0.25">
      <c r="A22" s="17"/>
      <c r="B22" s="349" t="s">
        <v>401</v>
      </c>
      <c r="C22" s="347" t="s">
        <v>566</v>
      </c>
      <c r="D22" s="350">
        <v>7950043</v>
      </c>
      <c r="E22" s="333">
        <f t="shared" si="4"/>
        <v>30</v>
      </c>
      <c r="F22" s="333">
        <f t="shared" si="5"/>
        <v>0</v>
      </c>
      <c r="G22" s="333">
        <f t="shared" si="5"/>
        <v>0</v>
      </c>
      <c r="H22" s="333">
        <f t="shared" si="3"/>
        <v>30</v>
      </c>
      <c r="I22" s="850">
        <f t="shared" si="6"/>
        <v>10</v>
      </c>
      <c r="J22" s="850"/>
      <c r="K22" s="862"/>
      <c r="L22" s="862">
        <v>10</v>
      </c>
      <c r="M22" s="850">
        <f t="shared" si="7"/>
        <v>0</v>
      </c>
      <c r="N22" s="850"/>
      <c r="O22" s="861"/>
      <c r="P22" s="841"/>
      <c r="Q22" s="850">
        <f t="shared" si="8"/>
        <v>10</v>
      </c>
      <c r="R22" s="850"/>
      <c r="S22" s="863"/>
      <c r="T22" s="841">
        <v>10</v>
      </c>
      <c r="U22" s="850">
        <f t="shared" si="9"/>
        <v>10</v>
      </c>
      <c r="V22" s="850"/>
      <c r="W22" s="863"/>
      <c r="X22" s="841">
        <v>10</v>
      </c>
      <c r="Y22" s="850">
        <f t="shared" si="10"/>
        <v>0</v>
      </c>
      <c r="Z22" s="850"/>
      <c r="AA22" s="863"/>
      <c r="AB22" s="841"/>
      <c r="AC22" s="683">
        <f t="shared" si="0"/>
        <v>0</v>
      </c>
      <c r="AD22" s="260"/>
      <c r="AE22" s="260"/>
      <c r="AF22" s="643"/>
      <c r="AG22" s="749">
        <f t="shared" si="11"/>
        <v>0</v>
      </c>
      <c r="AH22" s="749"/>
      <c r="AI22" s="749"/>
      <c r="AJ22" s="749">
        <v>0</v>
      </c>
      <c r="AK22" s="928">
        <f t="shared" si="1"/>
        <v>0</v>
      </c>
      <c r="AL22" s="928"/>
      <c r="AM22" s="928"/>
      <c r="AN22" s="928"/>
      <c r="AO22" s="928">
        <f t="shared" si="2"/>
        <v>0</v>
      </c>
      <c r="AP22" s="928"/>
      <c r="AQ22" s="928"/>
      <c r="AR22" s="928"/>
    </row>
    <row r="23" spans="1:44" ht="65.45" customHeight="1" x14ac:dyDescent="0.25">
      <c r="A23" s="17"/>
      <c r="B23" s="349" t="s">
        <v>402</v>
      </c>
      <c r="C23" s="351" t="s">
        <v>569</v>
      </c>
      <c r="D23" s="352"/>
      <c r="E23" s="333">
        <f t="shared" si="4"/>
        <v>65</v>
      </c>
      <c r="F23" s="333">
        <f t="shared" si="5"/>
        <v>0</v>
      </c>
      <c r="G23" s="333">
        <f t="shared" si="5"/>
        <v>0</v>
      </c>
      <c r="H23" s="333">
        <f t="shared" si="3"/>
        <v>65</v>
      </c>
      <c r="I23" s="850">
        <f t="shared" si="6"/>
        <v>0</v>
      </c>
      <c r="J23" s="850"/>
      <c r="K23" s="864"/>
      <c r="L23" s="864"/>
      <c r="M23" s="850">
        <f t="shared" si="7"/>
        <v>5</v>
      </c>
      <c r="N23" s="850"/>
      <c r="O23" s="839"/>
      <c r="P23" s="841">
        <v>5</v>
      </c>
      <c r="Q23" s="850">
        <f t="shared" si="8"/>
        <v>5</v>
      </c>
      <c r="R23" s="850"/>
      <c r="S23" s="839"/>
      <c r="T23" s="841">
        <v>5</v>
      </c>
      <c r="U23" s="850">
        <f t="shared" si="9"/>
        <v>5</v>
      </c>
      <c r="V23" s="850"/>
      <c r="W23" s="839"/>
      <c r="X23" s="841">
        <v>5</v>
      </c>
      <c r="Y23" s="850">
        <f t="shared" si="10"/>
        <v>10</v>
      </c>
      <c r="Z23" s="850"/>
      <c r="AA23" s="839"/>
      <c r="AB23" s="841">
        <v>10</v>
      </c>
      <c r="AC23" s="683">
        <f t="shared" si="0"/>
        <v>10</v>
      </c>
      <c r="AD23" s="260"/>
      <c r="AE23" s="260"/>
      <c r="AF23" s="643">
        <v>10</v>
      </c>
      <c r="AG23" s="749">
        <f t="shared" si="11"/>
        <v>10</v>
      </c>
      <c r="AH23" s="749"/>
      <c r="AI23" s="749"/>
      <c r="AJ23" s="749">
        <v>10</v>
      </c>
      <c r="AK23" s="928">
        <f t="shared" si="1"/>
        <v>10</v>
      </c>
      <c r="AL23" s="928"/>
      <c r="AM23" s="928"/>
      <c r="AN23" s="928">
        <v>10</v>
      </c>
      <c r="AO23" s="928">
        <f t="shared" si="2"/>
        <v>10</v>
      </c>
      <c r="AP23" s="928"/>
      <c r="AQ23" s="928"/>
      <c r="AR23" s="928">
        <v>10</v>
      </c>
    </row>
    <row r="24" spans="1:44" ht="0.75" hidden="1" customHeight="1" x14ac:dyDescent="0.25">
      <c r="A24" s="17"/>
      <c r="B24" s="349" t="s">
        <v>403</v>
      </c>
      <c r="C24" s="351"/>
      <c r="D24" s="31"/>
      <c r="E24" s="353" t="s">
        <v>404</v>
      </c>
      <c r="F24" s="353"/>
      <c r="G24" s="333">
        <f>K24+O24+S24+W24+Z24</f>
        <v>0</v>
      </c>
      <c r="H24" s="333">
        <f t="shared" si="3"/>
        <v>0</v>
      </c>
      <c r="I24" s="864"/>
      <c r="J24" s="864"/>
      <c r="K24" s="864"/>
      <c r="L24" s="864"/>
      <c r="M24" s="865"/>
      <c r="N24" s="865"/>
      <c r="O24" s="839"/>
      <c r="P24" s="839"/>
      <c r="Q24" s="839"/>
      <c r="R24" s="839"/>
      <c r="S24" s="839"/>
      <c r="T24" s="839"/>
      <c r="U24" s="839"/>
      <c r="V24" s="839"/>
      <c r="W24" s="839"/>
      <c r="X24" s="839"/>
      <c r="Y24" s="839"/>
      <c r="Z24" s="839"/>
      <c r="AA24" s="839"/>
      <c r="AB24" s="839"/>
      <c r="AC24" s="683">
        <f t="shared" si="0"/>
        <v>0</v>
      </c>
      <c r="AD24" s="260"/>
      <c r="AE24" s="260"/>
      <c r="AF24" s="491"/>
      <c r="AG24" s="16">
        <f t="shared" si="11"/>
        <v>0</v>
      </c>
      <c r="AH24" s="16"/>
      <c r="AI24" s="16"/>
      <c r="AJ24" s="16"/>
      <c r="AK24" s="928">
        <f t="shared" si="1"/>
        <v>0</v>
      </c>
      <c r="AL24" s="928"/>
      <c r="AM24" s="928"/>
      <c r="AN24" s="928"/>
      <c r="AO24" s="928">
        <f t="shared" si="2"/>
        <v>0</v>
      </c>
      <c r="AP24" s="928"/>
      <c r="AQ24" s="928"/>
      <c r="AR24" s="928"/>
    </row>
    <row r="25" spans="1:44" ht="72.75" hidden="1" x14ac:dyDescent="0.25">
      <c r="A25" s="17"/>
      <c r="B25" s="349" t="s">
        <v>405</v>
      </c>
      <c r="C25" s="351"/>
      <c r="D25" s="31"/>
      <c r="E25" s="353" t="s">
        <v>404</v>
      </c>
      <c r="F25" s="353"/>
      <c r="G25" s="333">
        <f>K25+O25+S25+W25+Z25</f>
        <v>0</v>
      </c>
      <c r="H25" s="333">
        <f t="shared" si="3"/>
        <v>0</v>
      </c>
      <c r="I25" s="864"/>
      <c r="J25" s="864"/>
      <c r="K25" s="864"/>
      <c r="L25" s="864"/>
      <c r="M25" s="865"/>
      <c r="N25" s="865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683">
        <f t="shared" si="0"/>
        <v>0</v>
      </c>
      <c r="AD25" s="260"/>
      <c r="AE25" s="260"/>
      <c r="AF25" s="491"/>
      <c r="AG25" s="16">
        <f t="shared" si="11"/>
        <v>0</v>
      </c>
      <c r="AH25" s="16"/>
      <c r="AI25" s="16"/>
      <c r="AJ25" s="16"/>
      <c r="AK25" s="928">
        <f t="shared" si="1"/>
        <v>0</v>
      </c>
      <c r="AL25" s="928"/>
      <c r="AM25" s="928"/>
      <c r="AN25" s="928"/>
      <c r="AO25" s="928">
        <f t="shared" si="2"/>
        <v>0</v>
      </c>
      <c r="AP25" s="928"/>
      <c r="AQ25" s="928"/>
      <c r="AR25" s="928"/>
    </row>
    <row r="26" spans="1:44" ht="72.75" hidden="1" x14ac:dyDescent="0.25">
      <c r="A26" s="17"/>
      <c r="B26" s="349" t="s">
        <v>406</v>
      </c>
      <c r="C26" s="354"/>
      <c r="D26" s="31"/>
      <c r="E26" s="353" t="s">
        <v>404</v>
      </c>
      <c r="F26" s="353"/>
      <c r="G26" s="333">
        <f>K26+O26+S26+W26+Z26</f>
        <v>0</v>
      </c>
      <c r="H26" s="333">
        <f t="shared" si="3"/>
        <v>0</v>
      </c>
      <c r="I26" s="864"/>
      <c r="J26" s="864"/>
      <c r="K26" s="864"/>
      <c r="L26" s="864"/>
      <c r="M26" s="865"/>
      <c r="N26" s="865"/>
      <c r="O26" s="839"/>
      <c r="P26" s="839"/>
      <c r="Q26" s="839"/>
      <c r="R26" s="839"/>
      <c r="S26" s="839"/>
      <c r="T26" s="839"/>
      <c r="U26" s="839"/>
      <c r="V26" s="839"/>
      <c r="W26" s="839"/>
      <c r="X26" s="839"/>
      <c r="Y26" s="839"/>
      <c r="Z26" s="839"/>
      <c r="AA26" s="839"/>
      <c r="AB26" s="839"/>
      <c r="AC26" s="683">
        <f t="shared" si="0"/>
        <v>0</v>
      </c>
      <c r="AD26" s="260"/>
      <c r="AE26" s="260"/>
      <c r="AF26" s="491"/>
      <c r="AG26" s="16">
        <f t="shared" si="11"/>
        <v>0</v>
      </c>
      <c r="AH26" s="16"/>
      <c r="AI26" s="16"/>
      <c r="AJ26" s="16"/>
      <c r="AK26" s="928">
        <f t="shared" si="1"/>
        <v>0</v>
      </c>
      <c r="AL26" s="928"/>
      <c r="AM26" s="928"/>
      <c r="AN26" s="928"/>
      <c r="AO26" s="928">
        <f t="shared" si="2"/>
        <v>0</v>
      </c>
      <c r="AP26" s="928"/>
      <c r="AQ26" s="928"/>
      <c r="AR26" s="928"/>
    </row>
    <row r="27" spans="1:44" ht="72.75" hidden="1" x14ac:dyDescent="0.25">
      <c r="A27" s="17"/>
      <c r="B27" s="349" t="s">
        <v>407</v>
      </c>
      <c r="C27" s="354"/>
      <c r="D27" s="31"/>
      <c r="E27" s="353" t="s">
        <v>404</v>
      </c>
      <c r="F27" s="353"/>
      <c r="G27" s="333">
        <f>K27+O27+S27+W27+Z27</f>
        <v>0</v>
      </c>
      <c r="H27" s="333">
        <f t="shared" si="3"/>
        <v>0</v>
      </c>
      <c r="I27" s="864"/>
      <c r="J27" s="864"/>
      <c r="K27" s="864"/>
      <c r="L27" s="864"/>
      <c r="M27" s="865"/>
      <c r="N27" s="865"/>
      <c r="O27" s="839"/>
      <c r="P27" s="839"/>
      <c r="Q27" s="839"/>
      <c r="R27" s="839"/>
      <c r="S27" s="839"/>
      <c r="T27" s="839"/>
      <c r="U27" s="839"/>
      <c r="V27" s="839"/>
      <c r="W27" s="839"/>
      <c r="X27" s="839"/>
      <c r="Y27" s="839"/>
      <c r="Z27" s="839"/>
      <c r="AA27" s="839"/>
      <c r="AB27" s="839"/>
      <c r="AC27" s="683">
        <f t="shared" si="0"/>
        <v>0</v>
      </c>
      <c r="AD27" s="260"/>
      <c r="AE27" s="260"/>
      <c r="AF27" s="491"/>
      <c r="AG27" s="16">
        <f t="shared" si="11"/>
        <v>0</v>
      </c>
      <c r="AH27" s="16"/>
      <c r="AI27" s="16"/>
      <c r="AJ27" s="16"/>
      <c r="AK27" s="928">
        <f t="shared" si="1"/>
        <v>0</v>
      </c>
      <c r="AL27" s="928"/>
      <c r="AM27" s="928"/>
      <c r="AN27" s="928"/>
      <c r="AO27" s="928">
        <f t="shared" si="2"/>
        <v>0</v>
      </c>
      <c r="AP27" s="928"/>
      <c r="AQ27" s="928"/>
      <c r="AR27" s="928"/>
    </row>
    <row r="28" spans="1:44" ht="72.75" hidden="1" x14ac:dyDescent="0.25">
      <c r="A28" s="17"/>
      <c r="B28" s="349" t="s">
        <v>408</v>
      </c>
      <c r="C28" s="354"/>
      <c r="D28" s="31"/>
      <c r="E28" s="353" t="s">
        <v>404</v>
      </c>
      <c r="F28" s="353"/>
      <c r="G28" s="333">
        <f>K28+O28+S28+W28+Z28</f>
        <v>0</v>
      </c>
      <c r="H28" s="333">
        <f t="shared" si="3"/>
        <v>0</v>
      </c>
      <c r="I28" s="864"/>
      <c r="J28" s="864"/>
      <c r="K28" s="864"/>
      <c r="L28" s="864"/>
      <c r="M28" s="865"/>
      <c r="N28" s="865"/>
      <c r="O28" s="839"/>
      <c r="P28" s="839"/>
      <c r="Q28" s="839"/>
      <c r="R28" s="839"/>
      <c r="S28" s="839"/>
      <c r="T28" s="839"/>
      <c r="U28" s="839"/>
      <c r="V28" s="839"/>
      <c r="W28" s="839"/>
      <c r="X28" s="839"/>
      <c r="Y28" s="839"/>
      <c r="Z28" s="839"/>
      <c r="AA28" s="839"/>
      <c r="AB28" s="839"/>
      <c r="AC28" s="683">
        <f t="shared" si="0"/>
        <v>0</v>
      </c>
      <c r="AD28" s="260"/>
      <c r="AE28" s="260"/>
      <c r="AF28" s="491"/>
      <c r="AG28" s="16">
        <f t="shared" si="11"/>
        <v>0</v>
      </c>
      <c r="AH28" s="16"/>
      <c r="AI28" s="16"/>
      <c r="AJ28" s="16"/>
      <c r="AK28" s="928">
        <f t="shared" si="1"/>
        <v>0</v>
      </c>
      <c r="AL28" s="928"/>
      <c r="AM28" s="928"/>
      <c r="AN28" s="928"/>
      <c r="AO28" s="928">
        <f t="shared" si="2"/>
        <v>0</v>
      </c>
      <c r="AP28" s="928"/>
      <c r="AQ28" s="928"/>
      <c r="AR28" s="928"/>
    </row>
    <row r="29" spans="1:44" ht="38.25" x14ac:dyDescent="0.25">
      <c r="A29" s="17"/>
      <c r="B29" s="349" t="s">
        <v>409</v>
      </c>
      <c r="C29" s="351" t="s">
        <v>570</v>
      </c>
      <c r="D29" s="31"/>
      <c r="E29" s="333">
        <f>G29+H29</f>
        <v>30</v>
      </c>
      <c r="F29" s="333">
        <f t="shared" ref="F29:G31" si="12">J29+N29+R29+V29+Z29+AD29+AH29</f>
        <v>0</v>
      </c>
      <c r="G29" s="333">
        <f t="shared" si="12"/>
        <v>0</v>
      </c>
      <c r="H29" s="333">
        <f t="shared" si="3"/>
        <v>30</v>
      </c>
      <c r="I29" s="850">
        <f>K29+L29</f>
        <v>30</v>
      </c>
      <c r="J29" s="850"/>
      <c r="K29" s="864"/>
      <c r="L29" s="864">
        <v>30</v>
      </c>
      <c r="M29" s="850">
        <f>O29+P29</f>
        <v>0</v>
      </c>
      <c r="N29" s="850"/>
      <c r="O29" s="839"/>
      <c r="P29" s="839"/>
      <c r="Q29" s="850">
        <f>S29+T29</f>
        <v>0</v>
      </c>
      <c r="R29" s="850"/>
      <c r="S29" s="839"/>
      <c r="T29" s="839"/>
      <c r="U29" s="850">
        <f>W29+X29</f>
        <v>0</v>
      </c>
      <c r="V29" s="850"/>
      <c r="W29" s="839"/>
      <c r="X29" s="839"/>
      <c r="Y29" s="850">
        <f>AA29+AB29</f>
        <v>0</v>
      </c>
      <c r="Z29" s="850"/>
      <c r="AA29" s="839"/>
      <c r="AB29" s="839"/>
      <c r="AC29" s="683">
        <f t="shared" si="0"/>
        <v>0</v>
      </c>
      <c r="AD29" s="260"/>
      <c r="AE29" s="260"/>
      <c r="AF29" s="491"/>
      <c r="AG29" s="16">
        <f t="shared" si="11"/>
        <v>0</v>
      </c>
      <c r="AH29" s="16"/>
      <c r="AI29" s="16"/>
      <c r="AJ29" s="16"/>
      <c r="AK29" s="928">
        <f t="shared" si="1"/>
        <v>0</v>
      </c>
      <c r="AL29" s="928"/>
      <c r="AM29" s="928"/>
      <c r="AN29" s="928"/>
      <c r="AO29" s="928">
        <f t="shared" si="2"/>
        <v>0</v>
      </c>
      <c r="AP29" s="928"/>
      <c r="AQ29" s="928"/>
      <c r="AR29" s="928"/>
    </row>
    <row r="30" spans="1:44" ht="30" x14ac:dyDescent="0.25">
      <c r="A30" s="17"/>
      <c r="B30" s="341" t="s">
        <v>571</v>
      </c>
      <c r="C30" s="750" t="s">
        <v>446</v>
      </c>
      <c r="D30" s="31"/>
      <c r="E30" s="333">
        <f>G30+H30</f>
        <v>1100</v>
      </c>
      <c r="F30" s="333">
        <f t="shared" si="12"/>
        <v>0</v>
      </c>
      <c r="G30" s="333">
        <f t="shared" si="12"/>
        <v>0</v>
      </c>
      <c r="H30" s="333">
        <f t="shared" si="3"/>
        <v>1100</v>
      </c>
      <c r="I30" s="866"/>
      <c r="J30" s="866"/>
      <c r="K30" s="866"/>
      <c r="L30" s="867"/>
      <c r="M30" s="867"/>
      <c r="N30" s="867"/>
      <c r="O30" s="867"/>
      <c r="P30" s="867"/>
      <c r="Q30" s="867"/>
      <c r="R30" s="867"/>
      <c r="S30" s="867"/>
      <c r="T30" s="867"/>
      <c r="U30" s="850">
        <f>W30+X30</f>
        <v>100</v>
      </c>
      <c r="V30" s="860"/>
      <c r="W30" s="860"/>
      <c r="X30" s="1160">
        <v>100</v>
      </c>
      <c r="Y30" s="1160">
        <f>Z30+AA30+AB30</f>
        <v>200</v>
      </c>
      <c r="Z30" s="860"/>
      <c r="AA30" s="860"/>
      <c r="AB30" s="1160">
        <v>200</v>
      </c>
      <c r="AC30" s="683">
        <f t="shared" si="0"/>
        <v>200</v>
      </c>
      <c r="AD30" s="16"/>
      <c r="AE30" s="16"/>
      <c r="AF30" s="16">
        <v>200</v>
      </c>
      <c r="AG30" s="16">
        <f t="shared" si="11"/>
        <v>200</v>
      </c>
      <c r="AH30" s="16"/>
      <c r="AI30" s="16"/>
      <c r="AJ30" s="16">
        <v>200</v>
      </c>
      <c r="AK30" s="928">
        <f t="shared" si="1"/>
        <v>200</v>
      </c>
      <c r="AL30" s="928"/>
      <c r="AM30" s="928"/>
      <c r="AN30" s="928">
        <v>200</v>
      </c>
      <c r="AO30" s="928">
        <f t="shared" si="2"/>
        <v>200</v>
      </c>
      <c r="AP30" s="928"/>
      <c r="AQ30" s="928"/>
      <c r="AR30" s="928">
        <v>200</v>
      </c>
    </row>
    <row r="31" spans="1:44" ht="39.75" customHeight="1" x14ac:dyDescent="0.25">
      <c r="A31" s="17"/>
      <c r="B31" s="16" t="s">
        <v>623</v>
      </c>
      <c r="C31" s="16" t="s">
        <v>43</v>
      </c>
      <c r="D31" s="16"/>
      <c r="E31" s="333">
        <f>G31+H31</f>
        <v>1139.21</v>
      </c>
      <c r="F31" s="333">
        <f t="shared" si="12"/>
        <v>0</v>
      </c>
      <c r="G31" s="333">
        <f t="shared" si="12"/>
        <v>0</v>
      </c>
      <c r="H31" s="333">
        <f t="shared" si="3"/>
        <v>1139.21</v>
      </c>
      <c r="I31" s="865"/>
      <c r="J31" s="865"/>
      <c r="K31" s="865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0"/>
      <c r="Y31" s="1160">
        <f>Z31+AA31+AB31</f>
        <v>243.9</v>
      </c>
      <c r="Z31" s="860"/>
      <c r="AA31" s="860"/>
      <c r="AB31" s="1160">
        <f>97-12-8.1+147+20</f>
        <v>243.9</v>
      </c>
      <c r="AC31" s="683">
        <f t="shared" si="0"/>
        <v>223.61</v>
      </c>
      <c r="AD31" s="16"/>
      <c r="AE31" s="16"/>
      <c r="AF31" s="749">
        <f>223.9+15-2.19-13.1</f>
        <v>223.61</v>
      </c>
      <c r="AG31" s="16">
        <f t="shared" si="11"/>
        <v>223.9</v>
      </c>
      <c r="AH31" s="16"/>
      <c r="AI31" s="16"/>
      <c r="AJ31" s="16">
        <v>223.9</v>
      </c>
      <c r="AK31" s="928">
        <f t="shared" si="1"/>
        <v>223.9</v>
      </c>
      <c r="AL31" s="928"/>
      <c r="AM31" s="928"/>
      <c r="AN31" s="928">
        <v>223.9</v>
      </c>
      <c r="AO31" s="928">
        <f t="shared" si="2"/>
        <v>223.9</v>
      </c>
      <c r="AP31" s="928"/>
      <c r="AQ31" s="928"/>
      <c r="AR31" s="928">
        <v>223.9</v>
      </c>
    </row>
    <row r="32" spans="1:44" ht="39.75" customHeight="1" x14ac:dyDescent="0.25">
      <c r="A32" s="17"/>
      <c r="B32" s="930" t="s">
        <v>649</v>
      </c>
      <c r="C32" s="16" t="s">
        <v>321</v>
      </c>
      <c r="D32" s="16"/>
      <c r="E32" s="333">
        <f>G32+H32</f>
        <v>40.5</v>
      </c>
      <c r="F32" s="16"/>
      <c r="G32" s="16"/>
      <c r="H32" s="333">
        <f t="shared" si="3"/>
        <v>40.5</v>
      </c>
      <c r="I32" s="865"/>
      <c r="J32" s="865"/>
      <c r="K32" s="865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0"/>
      <c r="X32" s="860"/>
      <c r="Y32" s="1160">
        <f>Z32+AA32+AB32</f>
        <v>8.1</v>
      </c>
      <c r="Z32" s="860"/>
      <c r="AA32" s="860"/>
      <c r="AB32" s="1160">
        <v>8.1</v>
      </c>
      <c r="AC32" s="683">
        <f t="shared" si="0"/>
        <v>8.1</v>
      </c>
      <c r="AD32" s="16"/>
      <c r="AE32" s="16"/>
      <c r="AF32" s="16">
        <v>8.1</v>
      </c>
      <c r="AG32" s="16">
        <f t="shared" si="11"/>
        <v>8.1</v>
      </c>
      <c r="AH32" s="16"/>
      <c r="AI32" s="16"/>
      <c r="AJ32" s="16">
        <v>8.1</v>
      </c>
      <c r="AK32" s="928">
        <f t="shared" si="1"/>
        <v>8.1</v>
      </c>
      <c r="AL32" s="928"/>
      <c r="AM32" s="928"/>
      <c r="AN32" s="928">
        <v>8.1</v>
      </c>
      <c r="AO32" s="928">
        <f t="shared" si="2"/>
        <v>8.1</v>
      </c>
      <c r="AP32" s="928"/>
      <c r="AQ32" s="928"/>
      <c r="AR32" s="928">
        <v>8.1</v>
      </c>
    </row>
    <row r="33" spans="8:8" x14ac:dyDescent="0.25">
      <c r="H33" s="333"/>
    </row>
  </sheetData>
  <mergeCells count="15">
    <mergeCell ref="AO4:AR4"/>
    <mergeCell ref="AK4:AN4"/>
    <mergeCell ref="A5:A6"/>
    <mergeCell ref="B5:B6"/>
    <mergeCell ref="C5:C6"/>
    <mergeCell ref="AG4:AJ4"/>
    <mergeCell ref="AC4:AF4"/>
    <mergeCell ref="Y4:AB4"/>
    <mergeCell ref="M1:X1"/>
    <mergeCell ref="B2:M2"/>
    <mergeCell ref="E4:H4"/>
    <mergeCell ref="I4:L4"/>
    <mergeCell ref="M4:P4"/>
    <mergeCell ref="Q4:T4"/>
    <mergeCell ref="U4:X4"/>
  </mergeCells>
  <pageMargins left="0" right="0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R15"/>
  <sheetViews>
    <sheetView zoomScaleNormal="100" zoomScaleSheetLayoutView="8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E14" sqref="AE14"/>
    </sheetView>
  </sheetViews>
  <sheetFormatPr defaultColWidth="8.85546875" defaultRowHeight="15" x14ac:dyDescent="0.25"/>
  <cols>
    <col min="1" max="1" width="6.42578125" style="290" customWidth="1"/>
    <col min="2" max="2" width="33.5703125" style="30" customWidth="1"/>
    <col min="3" max="3" width="12.140625" style="30" customWidth="1"/>
    <col min="4" max="4" width="1.5703125" style="30" hidden="1" customWidth="1"/>
    <col min="5" max="5" width="12" style="30" customWidth="1"/>
    <col min="6" max="6" width="4.7109375" style="30" customWidth="1"/>
    <col min="7" max="7" width="12.42578125" style="30" customWidth="1"/>
    <col min="8" max="8" width="7.85546875" style="30" customWidth="1"/>
    <col min="9" max="9" width="7.7109375" style="30" customWidth="1"/>
    <col min="10" max="10" width="4.42578125" style="30" customWidth="1"/>
    <col min="11" max="11" width="7.85546875" style="30" customWidth="1"/>
    <col min="12" max="12" width="5.42578125" style="30" customWidth="1"/>
    <col min="13" max="13" width="9.42578125" style="30" customWidth="1"/>
    <col min="14" max="14" width="3.42578125" style="30" customWidth="1"/>
    <col min="15" max="15" width="8.2851562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7.85546875" style="30" customWidth="1"/>
    <col min="22" max="22" width="4.28515625" style="30" customWidth="1"/>
    <col min="23" max="23" width="7.42578125" style="30" customWidth="1"/>
    <col min="24" max="24" width="6.42578125" style="30" customWidth="1"/>
    <col min="25" max="25" width="7.7109375" style="30" customWidth="1"/>
    <col min="26" max="26" width="3.7109375" style="30" customWidth="1"/>
    <col min="27" max="27" width="7" style="30" customWidth="1"/>
    <col min="28" max="28" width="5.85546875" style="30" customWidth="1"/>
    <col min="29" max="29" width="9" style="30" customWidth="1"/>
    <col min="30" max="30" width="5.28515625" style="30" customWidth="1"/>
    <col min="31" max="31" width="11.140625" style="30" customWidth="1"/>
    <col min="32" max="32" width="6.7109375" style="30" customWidth="1"/>
    <col min="33" max="16384" width="8.85546875" style="30"/>
  </cols>
  <sheetData>
    <row r="1" spans="1:44" x14ac:dyDescent="0.25">
      <c r="H1" s="1648" t="s">
        <v>410</v>
      </c>
      <c r="I1" s="1620"/>
      <c r="J1" s="1620"/>
      <c r="K1" s="1620"/>
      <c r="L1" s="1620"/>
      <c r="M1" s="1620"/>
      <c r="N1" s="1620"/>
      <c r="O1" s="1620"/>
      <c r="P1" s="1620"/>
      <c r="Q1" s="1620"/>
      <c r="R1" s="1620"/>
      <c r="S1" s="1620"/>
      <c r="T1" s="1620"/>
      <c r="U1" s="1620"/>
      <c r="V1" s="1620"/>
      <c r="W1" s="1620"/>
      <c r="X1" s="1620"/>
    </row>
    <row r="3" spans="1:44" ht="20.25" customHeight="1" x14ac:dyDescent="0.3">
      <c r="B3" s="1661" t="s">
        <v>411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  <c r="U3" s="1662"/>
      <c r="V3" s="1620"/>
      <c r="W3" s="1620"/>
      <c r="X3" s="1620"/>
      <c r="Y3" s="1620"/>
    </row>
    <row r="4" spans="1:44" ht="20.25" x14ac:dyDescent="0.3">
      <c r="B4" s="355"/>
      <c r="C4" s="356"/>
      <c r="D4" s="357" t="s">
        <v>412</v>
      </c>
      <c r="E4" s="358"/>
      <c r="F4" s="358"/>
      <c r="G4" s="358"/>
      <c r="H4" s="358"/>
      <c r="I4" s="358"/>
      <c r="J4" s="358"/>
      <c r="K4" s="358"/>
      <c r="L4" s="359"/>
      <c r="M4" s="282"/>
      <c r="N4" s="282"/>
    </row>
    <row r="5" spans="1:44" ht="15.75" x14ac:dyDescent="0.25">
      <c r="A5" s="321"/>
      <c r="B5" s="325" t="s">
        <v>0</v>
      </c>
      <c r="C5" s="72" t="s">
        <v>15</v>
      </c>
      <c r="D5" s="294"/>
      <c r="E5" s="1641" t="s">
        <v>156</v>
      </c>
      <c r="F5" s="1642"/>
      <c r="G5" s="1642"/>
      <c r="H5" s="1643"/>
      <c r="I5" s="1653">
        <v>2014</v>
      </c>
      <c r="J5" s="1654"/>
      <c r="K5" s="1654"/>
      <c r="L5" s="1655"/>
      <c r="M5" s="1584">
        <v>2015</v>
      </c>
      <c r="N5" s="1584"/>
      <c r="O5" s="1584"/>
      <c r="P5" s="1584"/>
      <c r="Q5" s="1584">
        <v>2016</v>
      </c>
      <c r="R5" s="1584"/>
      <c r="S5" s="1584"/>
      <c r="T5" s="1584"/>
      <c r="U5" s="1584">
        <v>2017</v>
      </c>
      <c r="V5" s="1584"/>
      <c r="W5" s="1584"/>
      <c r="X5" s="1584"/>
      <c r="Y5" s="1584">
        <v>2018</v>
      </c>
      <c r="Z5" s="1584"/>
      <c r="AA5" s="1584"/>
      <c r="AB5" s="1584"/>
      <c r="AC5" s="1650">
        <v>2019</v>
      </c>
      <c r="AD5" s="1650"/>
      <c r="AE5" s="1650"/>
      <c r="AF5" s="1650"/>
      <c r="AG5" s="1650">
        <v>2020</v>
      </c>
      <c r="AH5" s="1650"/>
      <c r="AI5" s="1650"/>
      <c r="AJ5" s="1650"/>
      <c r="AK5" s="1641">
        <v>2021</v>
      </c>
      <c r="AL5" s="1642"/>
      <c r="AM5" s="1642"/>
      <c r="AN5" s="1643"/>
      <c r="AO5" s="1641">
        <v>2022</v>
      </c>
      <c r="AP5" s="1642"/>
      <c r="AQ5" s="1642"/>
      <c r="AR5" s="1643"/>
    </row>
    <row r="6" spans="1:44" ht="64.5" x14ac:dyDescent="0.25">
      <c r="A6" s="360"/>
      <c r="B6" s="296" t="s">
        <v>413</v>
      </c>
      <c r="C6" s="326"/>
      <c r="D6" s="326"/>
      <c r="E6" s="298" t="s">
        <v>145</v>
      </c>
      <c r="F6" s="299" t="s">
        <v>4</v>
      </c>
      <c r="G6" s="300" t="s">
        <v>3</v>
      </c>
      <c r="H6" s="301" t="s">
        <v>5</v>
      </c>
      <c r="I6" s="833" t="s">
        <v>145</v>
      </c>
      <c r="J6" s="834" t="s">
        <v>4</v>
      </c>
      <c r="K6" s="834" t="s">
        <v>3</v>
      </c>
      <c r="L6" s="835" t="s">
        <v>5</v>
      </c>
      <c r="M6" s="835" t="s">
        <v>145</v>
      </c>
      <c r="N6" s="835" t="s">
        <v>4</v>
      </c>
      <c r="O6" s="835" t="s">
        <v>3</v>
      </c>
      <c r="P6" s="835" t="s">
        <v>5</v>
      </c>
      <c r="Q6" s="835" t="s">
        <v>145</v>
      </c>
      <c r="R6" s="835" t="s">
        <v>4</v>
      </c>
      <c r="S6" s="835" t="s">
        <v>3</v>
      </c>
      <c r="T6" s="835" t="s">
        <v>5</v>
      </c>
      <c r="U6" s="835" t="s">
        <v>145</v>
      </c>
      <c r="V6" s="835" t="s">
        <v>4</v>
      </c>
      <c r="W6" s="835" t="s">
        <v>3</v>
      </c>
      <c r="X6" s="835" t="s">
        <v>5</v>
      </c>
      <c r="Y6" s="835" t="s">
        <v>145</v>
      </c>
      <c r="Z6" s="835" t="s">
        <v>4</v>
      </c>
      <c r="AA6" s="835" t="s">
        <v>3</v>
      </c>
      <c r="AB6" s="835" t="s">
        <v>5</v>
      </c>
      <c r="AC6" s="302" t="s">
        <v>145</v>
      </c>
      <c r="AD6" s="302" t="s">
        <v>4</v>
      </c>
      <c r="AE6" s="302" t="s">
        <v>3</v>
      </c>
      <c r="AF6" s="302" t="s">
        <v>5</v>
      </c>
      <c r="AG6" s="302" t="s">
        <v>145</v>
      </c>
      <c r="AH6" s="302" t="s">
        <v>4</v>
      </c>
      <c r="AI6" s="302" t="s">
        <v>3</v>
      </c>
      <c r="AJ6" s="302" t="s">
        <v>5</v>
      </c>
      <c r="AK6" s="302" t="s">
        <v>145</v>
      </c>
      <c r="AL6" s="302" t="s">
        <v>4</v>
      </c>
      <c r="AM6" s="302" t="s">
        <v>3</v>
      </c>
      <c r="AN6" s="302" t="s">
        <v>5</v>
      </c>
      <c r="AO6" s="302" t="s">
        <v>145</v>
      </c>
      <c r="AP6" s="302" t="s">
        <v>4</v>
      </c>
      <c r="AQ6" s="302" t="s">
        <v>3</v>
      </c>
      <c r="AR6" s="302" t="s">
        <v>5</v>
      </c>
    </row>
    <row r="7" spans="1:44" ht="15.75" x14ac:dyDescent="0.25">
      <c r="A7" s="360"/>
      <c r="B7" s="326"/>
      <c r="C7" s="326"/>
      <c r="D7" s="326"/>
      <c r="E7" s="23">
        <f>F7+G7+H7</f>
        <v>722820</v>
      </c>
      <c r="F7" s="23">
        <f t="shared" ref="F7:G9" si="0">J7+N7+R7+V7+Z7+AD7+AH7+AL7+AP7</f>
        <v>0</v>
      </c>
      <c r="G7" s="23">
        <f t="shared" si="0"/>
        <v>722130</v>
      </c>
      <c r="H7" s="23">
        <f>L7+P7+T7+X7+AB7+AF7+AJ7+AN7+AR7</f>
        <v>690</v>
      </c>
      <c r="I7" s="788">
        <f>J7+K7+L7</f>
        <v>62561.1</v>
      </c>
      <c r="J7" s="788"/>
      <c r="K7" s="788">
        <f>K8+K13</f>
        <v>62501.1</v>
      </c>
      <c r="L7" s="1157">
        <f>L8+L13</f>
        <v>60</v>
      </c>
      <c r="M7" s="788">
        <f>N7+O7+P7</f>
        <v>63567.1</v>
      </c>
      <c r="N7" s="788"/>
      <c r="O7" s="788">
        <f>O8+O13</f>
        <v>63507.1</v>
      </c>
      <c r="P7" s="1158">
        <f>P8+P13</f>
        <v>60</v>
      </c>
      <c r="Q7" s="788">
        <f>R7+S7+T7</f>
        <v>72143.3</v>
      </c>
      <c r="R7" s="788"/>
      <c r="S7" s="788">
        <f>S8+S13</f>
        <v>72083.3</v>
      </c>
      <c r="T7" s="1158">
        <f>T8+T13</f>
        <v>60</v>
      </c>
      <c r="U7" s="788">
        <f>V7+W7+X7</f>
        <v>72376.900000000009</v>
      </c>
      <c r="V7" s="788"/>
      <c r="W7" s="788">
        <f>W8+W13</f>
        <v>72316.900000000009</v>
      </c>
      <c r="X7" s="1158">
        <f>X8+X13</f>
        <v>60</v>
      </c>
      <c r="Y7" s="788">
        <f>Z7+AA7+AB7</f>
        <v>78257.799999999988</v>
      </c>
      <c r="Z7" s="788"/>
      <c r="AA7" s="788">
        <f>AA8+AA13</f>
        <v>78167.799999999988</v>
      </c>
      <c r="AB7" s="1158">
        <f>AB8+AB13</f>
        <v>90</v>
      </c>
      <c r="AC7" s="23">
        <f>AD7+AE7+AF7</f>
        <v>87931.099999999991</v>
      </c>
      <c r="AD7" s="23">
        <f>AD8+AD13</f>
        <v>0</v>
      </c>
      <c r="AE7" s="23">
        <f>AE8+AE13</f>
        <v>87841.099999999991</v>
      </c>
      <c r="AF7" s="362">
        <f>AF8+AF13</f>
        <v>90</v>
      </c>
      <c r="AG7" s="361">
        <f>AH7+AI7+AJ7</f>
        <v>95276.599999999991</v>
      </c>
      <c r="AH7" s="362">
        <f>AH8+AH13</f>
        <v>0</v>
      </c>
      <c r="AI7" s="362">
        <f>AI8+AI13</f>
        <v>95186.599999999991</v>
      </c>
      <c r="AJ7" s="362">
        <f>AJ8+AJ13</f>
        <v>90</v>
      </c>
      <c r="AK7" s="845">
        <f>AL7+AM7+AN7</f>
        <v>95360.7</v>
      </c>
      <c r="AL7" s="362">
        <f>AL8+AL13</f>
        <v>0</v>
      </c>
      <c r="AM7" s="362">
        <f>AM8+AM13</f>
        <v>95270.7</v>
      </c>
      <c r="AN7" s="362">
        <f>AN8+AN13</f>
        <v>90</v>
      </c>
      <c r="AO7" s="845">
        <f>AP7+AQ7+AR7</f>
        <v>95345.400000000009</v>
      </c>
      <c r="AP7" s="362">
        <f>AP8+AP13</f>
        <v>0</v>
      </c>
      <c r="AQ7" s="362">
        <f>AQ8+AQ13</f>
        <v>95255.400000000009</v>
      </c>
      <c r="AR7" s="362">
        <f>AR8+AR13</f>
        <v>90</v>
      </c>
    </row>
    <row r="8" spans="1:44" ht="65.25" customHeight="1" x14ac:dyDescent="0.25">
      <c r="A8" s="688" t="s">
        <v>185</v>
      </c>
      <c r="B8" s="689" t="s">
        <v>414</v>
      </c>
      <c r="C8" s="680"/>
      <c r="D8" s="680"/>
      <c r="E8" s="648">
        <f t="shared" ref="E8:E15" si="1">G8+H8</f>
        <v>700045.5</v>
      </c>
      <c r="F8" s="648">
        <f t="shared" si="0"/>
        <v>0</v>
      </c>
      <c r="G8" s="648">
        <f t="shared" si="0"/>
        <v>699355.5</v>
      </c>
      <c r="H8" s="648">
        <f>L8+P8+T8+X8+AB8+AF8+AJ8+AN8+AR8</f>
        <v>690</v>
      </c>
      <c r="I8" s="790">
        <f t="shared" ref="I8:I15" si="2">K8+L8</f>
        <v>60275.1</v>
      </c>
      <c r="J8" s="790"/>
      <c r="K8" s="790">
        <f>K9+K11</f>
        <v>60215.1</v>
      </c>
      <c r="L8" s="790">
        <f>L9+L11</f>
        <v>60</v>
      </c>
      <c r="M8" s="790">
        <f t="shared" ref="M8:M15" si="3">O8+P8</f>
        <v>61269.1</v>
      </c>
      <c r="N8" s="790"/>
      <c r="O8" s="790">
        <f>O9+O11</f>
        <v>61209.1</v>
      </c>
      <c r="P8" s="790">
        <f>P9+P11</f>
        <v>60</v>
      </c>
      <c r="Q8" s="790">
        <f t="shared" ref="Q8:Q15" si="4">S8+T8</f>
        <v>69572.3</v>
      </c>
      <c r="R8" s="790"/>
      <c r="S8" s="790">
        <f>S9+S11</f>
        <v>69512.3</v>
      </c>
      <c r="T8" s="790">
        <f>T9+T11</f>
        <v>60</v>
      </c>
      <c r="U8" s="790">
        <f>W8+X8</f>
        <v>69957.3</v>
      </c>
      <c r="V8" s="790"/>
      <c r="W8" s="790">
        <f>W9+W11</f>
        <v>69897.3</v>
      </c>
      <c r="X8" s="1151">
        <f>X9+X11</f>
        <v>60</v>
      </c>
      <c r="Y8" s="790">
        <f>AA8+AB8</f>
        <v>75603.799999999988</v>
      </c>
      <c r="Z8" s="790"/>
      <c r="AA8" s="790">
        <f>AA9+AA11</f>
        <v>75513.799999999988</v>
      </c>
      <c r="AB8" s="790">
        <f>AB9+AB11</f>
        <v>90</v>
      </c>
      <c r="AC8" s="648">
        <f t="shared" ref="AC8:AC14" si="5">AD8+AE8+AF8</f>
        <v>85236.2</v>
      </c>
      <c r="AD8" s="648">
        <f>AD9+AD11</f>
        <v>0</v>
      </c>
      <c r="AE8" s="648">
        <f>AE9+AE11</f>
        <v>85146.2</v>
      </c>
      <c r="AF8" s="648">
        <f>AF9+AF11</f>
        <v>90</v>
      </c>
      <c r="AG8" s="649">
        <f>AH8+AI8+AJ8</f>
        <v>92618.7</v>
      </c>
      <c r="AH8" s="648">
        <f>AH9+AH11</f>
        <v>0</v>
      </c>
      <c r="AI8" s="648">
        <f>AI9+AI11</f>
        <v>92528.7</v>
      </c>
      <c r="AJ8" s="648">
        <f>AJ9+AJ11</f>
        <v>90</v>
      </c>
      <c r="AK8" s="649">
        <f>AL8+AM8+AN8</f>
        <v>92743.7</v>
      </c>
      <c r="AL8" s="648">
        <f>AL9+AL11</f>
        <v>0</v>
      </c>
      <c r="AM8" s="648">
        <f>AM9+AM11</f>
        <v>92653.7</v>
      </c>
      <c r="AN8" s="648">
        <f>AN9+AN11</f>
        <v>90</v>
      </c>
      <c r="AO8" s="649">
        <f>AP8+AQ8+AR8</f>
        <v>92769.3</v>
      </c>
      <c r="AP8" s="648">
        <f>AP9+AP11</f>
        <v>0</v>
      </c>
      <c r="AQ8" s="648">
        <f>AQ9+AQ11</f>
        <v>92679.3</v>
      </c>
      <c r="AR8" s="648">
        <f>AR9+AR11</f>
        <v>90</v>
      </c>
    </row>
    <row r="9" spans="1:44" ht="117" customHeight="1" x14ac:dyDescent="0.25">
      <c r="A9" s="363" t="s">
        <v>185</v>
      </c>
      <c r="B9" s="14" t="s">
        <v>415</v>
      </c>
      <c r="C9" s="14" t="s">
        <v>416</v>
      </c>
      <c r="D9" s="303"/>
      <c r="E9" s="26">
        <f t="shared" si="1"/>
        <v>699355.5</v>
      </c>
      <c r="F9" s="26">
        <f t="shared" si="0"/>
        <v>0</v>
      </c>
      <c r="G9" s="26">
        <f t="shared" si="0"/>
        <v>699355.5</v>
      </c>
      <c r="H9" s="26">
        <f>L9+P9+T9+X9+AB9+AF9+AJ9+AN9+AR9</f>
        <v>0</v>
      </c>
      <c r="I9" s="792">
        <f t="shared" si="2"/>
        <v>60215.1</v>
      </c>
      <c r="J9" s="792"/>
      <c r="K9" s="792">
        <f>K10</f>
        <v>60215.1</v>
      </c>
      <c r="L9" s="866"/>
      <c r="M9" s="792">
        <f t="shared" si="3"/>
        <v>61209.1</v>
      </c>
      <c r="N9" s="792"/>
      <c r="O9" s="1152">
        <f>O10</f>
        <v>61209.1</v>
      </c>
      <c r="P9" s="1152"/>
      <c r="Q9" s="792">
        <f t="shared" si="4"/>
        <v>69512.3</v>
      </c>
      <c r="R9" s="792"/>
      <c r="S9" s="1152">
        <v>69512.3</v>
      </c>
      <c r="T9" s="1152"/>
      <c r="U9" s="792">
        <f t="shared" ref="U9:U15" si="6">W9+X9</f>
        <v>69897.3</v>
      </c>
      <c r="V9" s="792"/>
      <c r="W9" s="798">
        <v>69897.3</v>
      </c>
      <c r="X9" s="1153"/>
      <c r="Y9" s="791">
        <f t="shared" ref="Y9:Y15" si="7">AA9+AB9</f>
        <v>75513.799999999988</v>
      </c>
      <c r="Z9" s="791"/>
      <c r="AA9" s="798">
        <f>76215.9-702.1</f>
        <v>75513.799999999988</v>
      </c>
      <c r="AB9" s="1162"/>
      <c r="AC9" s="26">
        <f t="shared" si="5"/>
        <v>85146.2</v>
      </c>
      <c r="AD9" s="260"/>
      <c r="AE9" s="204">
        <f>79829.3+1040+4276.9</f>
        <v>85146.2</v>
      </c>
      <c r="AF9" s="203">
        <f>AF10</f>
        <v>0</v>
      </c>
      <c r="AG9" s="749">
        <f>AH9+AI9+AJ9</f>
        <v>92528.7</v>
      </c>
      <c r="AH9" s="16"/>
      <c r="AI9" s="16">
        <v>92528.7</v>
      </c>
      <c r="AJ9" s="16"/>
      <c r="AK9" s="928">
        <f t="shared" ref="AK9:AK14" si="8">AL9+AM9+AN9</f>
        <v>92653.7</v>
      </c>
      <c r="AL9" s="928"/>
      <c r="AM9" s="928">
        <v>92653.7</v>
      </c>
      <c r="AN9" s="928"/>
      <c r="AO9" s="928">
        <f t="shared" ref="AO9:AO14" si="9">AP9+AQ9+AR9</f>
        <v>92679.3</v>
      </c>
      <c r="AP9" s="928"/>
      <c r="AQ9" s="928">
        <v>92679.3</v>
      </c>
      <c r="AR9" s="928"/>
    </row>
    <row r="10" spans="1:44" s="368" customFormat="1" ht="33" hidden="1" customHeight="1" x14ac:dyDescent="0.25">
      <c r="A10" s="364" t="s">
        <v>6</v>
      </c>
      <c r="B10" s="365" t="s">
        <v>417</v>
      </c>
      <c r="C10" s="365"/>
      <c r="D10" s="366"/>
      <c r="E10" s="73">
        <f t="shared" si="1"/>
        <v>347477.29999999993</v>
      </c>
      <c r="F10" s="26">
        <f>J10+N10+R10+V10+Z10+AD10</f>
        <v>0</v>
      </c>
      <c r="G10" s="26">
        <f>K10+O10+S10+W10+AA10+AE10</f>
        <v>347477.29999999993</v>
      </c>
      <c r="H10" s="26">
        <f>L10+P10+T10+X10+AB10+AF10+AJ10+AN10+AR10</f>
        <v>0</v>
      </c>
      <c r="I10" s="1163">
        <f t="shared" si="2"/>
        <v>60215.1</v>
      </c>
      <c r="J10" s="1163"/>
      <c r="K10" s="1163">
        <v>60215.1</v>
      </c>
      <c r="L10" s="1164"/>
      <c r="M10" s="1163">
        <f t="shared" si="3"/>
        <v>61209.1</v>
      </c>
      <c r="N10" s="1163"/>
      <c r="O10" s="1165">
        <v>61209.1</v>
      </c>
      <c r="P10" s="1165"/>
      <c r="Q10" s="1163">
        <f t="shared" si="4"/>
        <v>71899.899999999994</v>
      </c>
      <c r="R10" s="1163"/>
      <c r="S10" s="1165">
        <v>71899.899999999994</v>
      </c>
      <c r="T10" s="1165"/>
      <c r="U10" s="1163">
        <f t="shared" si="6"/>
        <v>77076.600000000006</v>
      </c>
      <c r="V10" s="1163"/>
      <c r="W10" s="1166">
        <v>77076.600000000006</v>
      </c>
      <c r="X10" s="1167"/>
      <c r="Y10" s="1168">
        <f t="shared" si="7"/>
        <v>77076.600000000006</v>
      </c>
      <c r="Z10" s="1168"/>
      <c r="AA10" s="1166">
        <f>W10</f>
        <v>77076.600000000006</v>
      </c>
      <c r="AB10" s="1169"/>
      <c r="AC10" s="26">
        <f t="shared" si="5"/>
        <v>0</v>
      </c>
      <c r="AD10" s="645"/>
      <c r="AE10" s="645"/>
      <c r="AF10" s="645"/>
      <c r="AG10" s="749">
        <f>AH10+AI10+AJ10</f>
        <v>0</v>
      </c>
      <c r="AH10" s="370"/>
      <c r="AI10" s="370"/>
      <c r="AJ10" s="370"/>
      <c r="AK10" s="928">
        <f t="shared" si="8"/>
        <v>0</v>
      </c>
      <c r="AL10" s="1002"/>
      <c r="AM10" s="1002"/>
      <c r="AN10" s="1002"/>
      <c r="AO10" s="928">
        <f t="shared" si="9"/>
        <v>0</v>
      </c>
      <c r="AP10" s="1002"/>
      <c r="AQ10" s="1002"/>
      <c r="AR10" s="1002"/>
    </row>
    <row r="11" spans="1:44" ht="60" customHeight="1" x14ac:dyDescent="0.25">
      <c r="A11" s="369">
        <v>2</v>
      </c>
      <c r="B11" s="308" t="s">
        <v>418</v>
      </c>
      <c r="C11" s="14" t="s">
        <v>50</v>
      </c>
      <c r="D11" s="282"/>
      <c r="E11" s="26">
        <f t="shared" si="1"/>
        <v>690</v>
      </c>
      <c r="F11" s="26">
        <f>J11+N11+R11+V11+Z11+AD11+AH11+AL11+AP11</f>
        <v>0</v>
      </c>
      <c r="G11" s="26">
        <f>K11+O11+S11+W11+AA11+AE11+AI11+AM11+AQ11</f>
        <v>0</v>
      </c>
      <c r="H11" s="26">
        <f>L11+P11+T11+X11+AB11+AF11+AJ11+AN11+AR11</f>
        <v>690</v>
      </c>
      <c r="I11" s="792">
        <f t="shared" si="2"/>
        <v>60</v>
      </c>
      <c r="J11" s="792"/>
      <c r="K11" s="792"/>
      <c r="L11" s="864">
        <f>L12</f>
        <v>60</v>
      </c>
      <c r="M11" s="792">
        <f t="shared" si="3"/>
        <v>60</v>
      </c>
      <c r="N11" s="792"/>
      <c r="O11" s="792"/>
      <c r="P11" s="864">
        <f>P12</f>
        <v>60</v>
      </c>
      <c r="Q11" s="792">
        <f t="shared" si="4"/>
        <v>60</v>
      </c>
      <c r="R11" s="792"/>
      <c r="S11" s="792"/>
      <c r="T11" s="864">
        <v>60</v>
      </c>
      <c r="U11" s="792">
        <f t="shared" si="6"/>
        <v>60</v>
      </c>
      <c r="V11" s="792"/>
      <c r="W11" s="791"/>
      <c r="X11" s="1170">
        <v>60</v>
      </c>
      <c r="Y11" s="791">
        <f t="shared" si="7"/>
        <v>90</v>
      </c>
      <c r="Z11" s="791"/>
      <c r="AA11" s="791"/>
      <c r="AB11" s="841">
        <f>60+30</f>
        <v>90</v>
      </c>
      <c r="AC11" s="26">
        <f t="shared" si="5"/>
        <v>90</v>
      </c>
      <c r="AD11" s="260"/>
      <c r="AE11" s="260"/>
      <c r="AF11" s="643">
        <v>90</v>
      </c>
      <c r="AG11" s="749">
        <f>AH11+AI11+AJ11</f>
        <v>90</v>
      </c>
      <c r="AH11" s="16"/>
      <c r="AI11" s="16"/>
      <c r="AJ11" s="749">
        <v>90</v>
      </c>
      <c r="AK11" s="928">
        <f t="shared" si="8"/>
        <v>90</v>
      </c>
      <c r="AL11" s="928"/>
      <c r="AM11" s="928"/>
      <c r="AN11" s="928">
        <v>90</v>
      </c>
      <c r="AO11" s="928">
        <f t="shared" si="9"/>
        <v>90</v>
      </c>
      <c r="AP11" s="928"/>
      <c r="AQ11" s="928"/>
      <c r="AR11" s="928">
        <v>90</v>
      </c>
    </row>
    <row r="12" spans="1:44" s="368" customFormat="1" ht="31.9" hidden="1" customHeight="1" x14ac:dyDescent="0.25">
      <c r="A12" s="364" t="s">
        <v>14</v>
      </c>
      <c r="B12" s="365" t="s">
        <v>419</v>
      </c>
      <c r="C12" s="365"/>
      <c r="D12" s="366"/>
      <c r="E12" s="73">
        <f t="shared" si="1"/>
        <v>300</v>
      </c>
      <c r="F12" s="73"/>
      <c r="G12" s="26">
        <f>K12+O12+S12+W12+AA12</f>
        <v>0</v>
      </c>
      <c r="H12" s="26">
        <f>L12+P12+T12+X12+AB12+AF12</f>
        <v>300</v>
      </c>
      <c r="I12" s="1163">
        <f t="shared" si="2"/>
        <v>60</v>
      </c>
      <c r="J12" s="1163"/>
      <c r="K12" s="1163"/>
      <c r="L12" s="1164">
        <v>60</v>
      </c>
      <c r="M12" s="1163">
        <f t="shared" si="3"/>
        <v>60</v>
      </c>
      <c r="N12" s="1163"/>
      <c r="O12" s="1165"/>
      <c r="P12" s="1165">
        <v>60</v>
      </c>
      <c r="Q12" s="1163">
        <f t="shared" si="4"/>
        <v>60</v>
      </c>
      <c r="R12" s="1163"/>
      <c r="S12" s="1165"/>
      <c r="T12" s="1165">
        <v>60</v>
      </c>
      <c r="U12" s="1163">
        <f t="shared" si="6"/>
        <v>60</v>
      </c>
      <c r="V12" s="1163"/>
      <c r="W12" s="1166"/>
      <c r="X12" s="1167">
        <v>60</v>
      </c>
      <c r="Y12" s="1168">
        <f t="shared" si="7"/>
        <v>60</v>
      </c>
      <c r="Z12" s="1169"/>
      <c r="AA12" s="1169"/>
      <c r="AB12" s="1169">
        <v>60</v>
      </c>
      <c r="AC12" s="26">
        <f t="shared" si="5"/>
        <v>0</v>
      </c>
      <c r="AD12" s="645"/>
      <c r="AE12" s="645"/>
      <c r="AF12" s="645"/>
      <c r="AG12" s="370"/>
      <c r="AH12" s="370"/>
      <c r="AI12" s="370"/>
      <c r="AJ12" s="370"/>
      <c r="AK12" s="928">
        <f t="shared" si="8"/>
        <v>0</v>
      </c>
      <c r="AL12" s="1002"/>
      <c r="AM12" s="1002"/>
      <c r="AN12" s="1002"/>
      <c r="AO12" s="928">
        <f t="shared" si="9"/>
        <v>0</v>
      </c>
      <c r="AP12" s="1002"/>
      <c r="AQ12" s="1002"/>
      <c r="AR12" s="1002"/>
    </row>
    <row r="13" spans="1:44" ht="77.25" x14ac:dyDescent="0.25">
      <c r="A13" s="684" t="s">
        <v>13</v>
      </c>
      <c r="B13" s="669" t="s">
        <v>420</v>
      </c>
      <c r="C13" s="680"/>
      <c r="D13" s="680"/>
      <c r="E13" s="648">
        <f t="shared" si="1"/>
        <v>22774.5</v>
      </c>
      <c r="F13" s="648">
        <f t="shared" ref="F13:H14" si="10">J13+N13+R13+V13+Z13+AD13+AH13+AL13+AP13</f>
        <v>0</v>
      </c>
      <c r="G13" s="648">
        <f t="shared" si="10"/>
        <v>22774.5</v>
      </c>
      <c r="H13" s="648">
        <f t="shared" si="10"/>
        <v>0</v>
      </c>
      <c r="I13" s="790">
        <f t="shared" si="2"/>
        <v>2286</v>
      </c>
      <c r="J13" s="790"/>
      <c r="K13" s="790">
        <f>K14</f>
        <v>2286</v>
      </c>
      <c r="L13" s="1171">
        <f>L14</f>
        <v>0</v>
      </c>
      <c r="M13" s="790">
        <f t="shared" si="3"/>
        <v>2298</v>
      </c>
      <c r="N13" s="790"/>
      <c r="O13" s="1172">
        <f>O14</f>
        <v>2298</v>
      </c>
      <c r="P13" s="1172">
        <f>P14</f>
        <v>0</v>
      </c>
      <c r="Q13" s="790">
        <f t="shared" si="4"/>
        <v>2571</v>
      </c>
      <c r="R13" s="790"/>
      <c r="S13" s="1171">
        <f>S14</f>
        <v>2571</v>
      </c>
      <c r="T13" s="1171">
        <f>T14</f>
        <v>0</v>
      </c>
      <c r="U13" s="790">
        <f t="shared" si="6"/>
        <v>2419.6</v>
      </c>
      <c r="V13" s="790"/>
      <c r="W13" s="1173">
        <v>2419.6</v>
      </c>
      <c r="X13" s="1171">
        <f>X14</f>
        <v>0</v>
      </c>
      <c r="Y13" s="790">
        <f t="shared" si="7"/>
        <v>2654</v>
      </c>
      <c r="Z13" s="790"/>
      <c r="AA13" s="1171">
        <f>AA14</f>
        <v>2654</v>
      </c>
      <c r="AB13" s="1172">
        <f>AB14</f>
        <v>0</v>
      </c>
      <c r="AC13" s="648">
        <f t="shared" si="5"/>
        <v>2694.9</v>
      </c>
      <c r="AD13" s="686"/>
      <c r="AE13" s="687">
        <f>AE14</f>
        <v>2694.9</v>
      </c>
      <c r="AF13" s="687">
        <f>AF14</f>
        <v>0</v>
      </c>
      <c r="AG13" s="687">
        <f>AH13+AI13+AJ13</f>
        <v>2657.9</v>
      </c>
      <c r="AH13" s="687">
        <f>AH14</f>
        <v>0</v>
      </c>
      <c r="AI13" s="687">
        <f>AI14</f>
        <v>2657.9</v>
      </c>
      <c r="AJ13" s="687">
        <f>AJ14</f>
        <v>0</v>
      </c>
      <c r="AK13" s="649">
        <f t="shared" si="8"/>
        <v>2617</v>
      </c>
      <c r="AL13" s="687">
        <f>AL14</f>
        <v>0</v>
      </c>
      <c r="AM13" s="687">
        <f>AM14</f>
        <v>2617</v>
      </c>
      <c r="AN13" s="687">
        <f>AN14</f>
        <v>0</v>
      </c>
      <c r="AO13" s="649">
        <f t="shared" si="9"/>
        <v>2576.1</v>
      </c>
      <c r="AP13" s="687">
        <f>AP14</f>
        <v>0</v>
      </c>
      <c r="AQ13" s="687">
        <f>AQ14</f>
        <v>2576.1</v>
      </c>
      <c r="AR13" s="687">
        <f>AR14</f>
        <v>0</v>
      </c>
    </row>
    <row r="14" spans="1:44" ht="51.75" x14ac:dyDescent="0.25">
      <c r="A14" s="363">
        <v>3</v>
      </c>
      <c r="B14" s="14" t="s">
        <v>421</v>
      </c>
      <c r="C14" s="14" t="s">
        <v>50</v>
      </c>
      <c r="D14" s="303"/>
      <c r="E14" s="26">
        <f t="shared" si="1"/>
        <v>23001.399999999998</v>
      </c>
      <c r="F14" s="24">
        <f t="shared" si="10"/>
        <v>0</v>
      </c>
      <c r="G14" s="24">
        <f t="shared" si="10"/>
        <v>23001.399999999998</v>
      </c>
      <c r="H14" s="24">
        <f t="shared" si="10"/>
        <v>0</v>
      </c>
      <c r="I14" s="792">
        <f t="shared" si="2"/>
        <v>2286</v>
      </c>
      <c r="J14" s="792"/>
      <c r="K14" s="792">
        <f>K15</f>
        <v>2286</v>
      </c>
      <c r="L14" s="860"/>
      <c r="M14" s="792">
        <f t="shared" si="3"/>
        <v>2298</v>
      </c>
      <c r="N14" s="792"/>
      <c r="O14" s="792">
        <f>O15</f>
        <v>2298</v>
      </c>
      <c r="P14" s="860"/>
      <c r="Q14" s="792">
        <f t="shared" si="4"/>
        <v>2571</v>
      </c>
      <c r="R14" s="792"/>
      <c r="S14" s="792">
        <v>2571</v>
      </c>
      <c r="T14" s="860"/>
      <c r="U14" s="792">
        <f t="shared" si="6"/>
        <v>2646.5</v>
      </c>
      <c r="V14" s="792"/>
      <c r="W14" s="791">
        <v>2646.5</v>
      </c>
      <c r="X14" s="1174"/>
      <c r="Y14" s="791">
        <f t="shared" si="7"/>
        <v>2654</v>
      </c>
      <c r="Z14" s="791"/>
      <c r="AA14" s="791">
        <v>2654</v>
      </c>
      <c r="AB14" s="863">
        <v>0</v>
      </c>
      <c r="AC14" s="26">
        <f t="shared" si="5"/>
        <v>2694.9</v>
      </c>
      <c r="AD14" s="260"/>
      <c r="AE14" s="624">
        <f>2654+61.1-20.2</f>
        <v>2694.9</v>
      </c>
      <c r="AF14" s="624">
        <v>0</v>
      </c>
      <c r="AG14" s="749">
        <f>AH14+AI14+AJ14</f>
        <v>2657.9</v>
      </c>
      <c r="AH14" s="749"/>
      <c r="AI14" s="749">
        <v>2657.9</v>
      </c>
      <c r="AJ14" s="749"/>
      <c r="AK14" s="928">
        <f t="shared" si="8"/>
        <v>2617</v>
      </c>
      <c r="AL14" s="928"/>
      <c r="AM14" s="928">
        <v>2617</v>
      </c>
      <c r="AN14" s="928"/>
      <c r="AO14" s="928">
        <f t="shared" si="9"/>
        <v>2576.1</v>
      </c>
      <c r="AP14" s="928"/>
      <c r="AQ14" s="928">
        <v>2576.1</v>
      </c>
      <c r="AR14" s="928">
        <v>0</v>
      </c>
    </row>
    <row r="15" spans="1:44" s="368" customFormat="1" ht="42" hidden="1" customHeight="1" x14ac:dyDescent="0.25">
      <c r="A15" s="364" t="s">
        <v>52</v>
      </c>
      <c r="B15" s="365" t="s">
        <v>422</v>
      </c>
      <c r="C15" s="365"/>
      <c r="D15" s="366"/>
      <c r="E15" s="73">
        <f t="shared" si="1"/>
        <v>12646.400000000001</v>
      </c>
      <c r="F15" s="73"/>
      <c r="G15" s="26">
        <f>K15+O15+S15+W15+AA15</f>
        <v>12646.400000000001</v>
      </c>
      <c r="H15" s="26">
        <f>L15+P15+T15+X15+AB15</f>
        <v>0</v>
      </c>
      <c r="I15" s="73">
        <f t="shared" si="2"/>
        <v>2286</v>
      </c>
      <c r="J15" s="73"/>
      <c r="K15" s="73">
        <v>2286</v>
      </c>
      <c r="L15" s="370"/>
      <c r="M15" s="73">
        <f t="shared" si="3"/>
        <v>2298</v>
      </c>
      <c r="N15" s="73"/>
      <c r="O15" s="370">
        <v>2298</v>
      </c>
      <c r="P15" s="370"/>
      <c r="Q15" s="73">
        <f t="shared" si="4"/>
        <v>2570.8000000000002</v>
      </c>
      <c r="R15" s="73"/>
      <c r="S15" s="371">
        <v>2570.8000000000002</v>
      </c>
      <c r="T15" s="371"/>
      <c r="U15" s="73">
        <f t="shared" si="6"/>
        <v>2745.8</v>
      </c>
      <c r="V15" s="73"/>
      <c r="W15" s="370">
        <v>2745.8</v>
      </c>
      <c r="X15" s="370"/>
      <c r="Y15" s="73">
        <f t="shared" si="7"/>
        <v>2745.8</v>
      </c>
      <c r="Z15" s="367"/>
      <c r="AA15" s="367">
        <f>W15</f>
        <v>2745.8</v>
      </c>
      <c r="AB15" s="367"/>
    </row>
  </sheetData>
  <mergeCells count="12">
    <mergeCell ref="AO5:AR5"/>
    <mergeCell ref="AK5:AN5"/>
    <mergeCell ref="AG5:AJ5"/>
    <mergeCell ref="AC5:AF5"/>
    <mergeCell ref="U5:X5"/>
    <mergeCell ref="Y5:AB5"/>
    <mergeCell ref="H1:X1"/>
    <mergeCell ref="B3:Y3"/>
    <mergeCell ref="E5:H5"/>
    <mergeCell ref="I5:L5"/>
    <mergeCell ref="M5:P5"/>
    <mergeCell ref="Q5:T5"/>
  </mergeCells>
  <pageMargins left="0" right="0" top="0.74803149606299213" bottom="0.74803149606299213" header="0.31496062992125984" footer="0.31496062992125984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30"/>
    <col min="2" max="2" width="3.7109375" style="30" customWidth="1"/>
    <col min="3" max="3" width="10.5703125" style="30" bestFit="1" customWidth="1"/>
    <col min="4" max="4" width="12.5703125" style="30" bestFit="1" customWidth="1"/>
    <col min="5" max="6" width="10.5703125" style="30" bestFit="1" customWidth="1"/>
    <col min="7" max="7" width="10.5703125" style="30" customWidth="1"/>
    <col min="8" max="8" width="10.5703125" style="30" bestFit="1" customWidth="1"/>
    <col min="9" max="259" width="8.85546875" style="30"/>
    <col min="260" max="264" width="10.5703125" style="30" bestFit="1" customWidth="1"/>
    <col min="265" max="515" width="8.85546875" style="30"/>
    <col min="516" max="520" width="10.5703125" style="30" bestFit="1" customWidth="1"/>
    <col min="521" max="771" width="8.85546875" style="30"/>
    <col min="772" max="776" width="10.5703125" style="30" bestFit="1" customWidth="1"/>
    <col min="777" max="1027" width="8.85546875" style="30"/>
    <col min="1028" max="1032" width="10.5703125" style="30" bestFit="1" customWidth="1"/>
    <col min="1033" max="1283" width="8.85546875" style="30"/>
    <col min="1284" max="1288" width="10.5703125" style="30" bestFit="1" customWidth="1"/>
    <col min="1289" max="1539" width="8.85546875" style="30"/>
    <col min="1540" max="1544" width="10.5703125" style="30" bestFit="1" customWidth="1"/>
    <col min="1545" max="1795" width="8.85546875" style="30"/>
    <col min="1796" max="1800" width="10.5703125" style="30" bestFit="1" customWidth="1"/>
    <col min="1801" max="2051" width="8.85546875" style="30"/>
    <col min="2052" max="2056" width="10.5703125" style="30" bestFit="1" customWidth="1"/>
    <col min="2057" max="2307" width="8.85546875" style="30"/>
    <col min="2308" max="2312" width="10.5703125" style="30" bestFit="1" customWidth="1"/>
    <col min="2313" max="2563" width="8.85546875" style="30"/>
    <col min="2564" max="2568" width="10.5703125" style="30" bestFit="1" customWidth="1"/>
    <col min="2569" max="2819" width="8.85546875" style="30"/>
    <col min="2820" max="2824" width="10.5703125" style="30" bestFit="1" customWidth="1"/>
    <col min="2825" max="3075" width="8.85546875" style="30"/>
    <col min="3076" max="3080" width="10.5703125" style="30" bestFit="1" customWidth="1"/>
    <col min="3081" max="3331" width="8.85546875" style="30"/>
    <col min="3332" max="3336" width="10.5703125" style="30" bestFit="1" customWidth="1"/>
    <col min="3337" max="3587" width="8.85546875" style="30"/>
    <col min="3588" max="3592" width="10.5703125" style="30" bestFit="1" customWidth="1"/>
    <col min="3593" max="3843" width="8.85546875" style="30"/>
    <col min="3844" max="3848" width="10.5703125" style="30" bestFit="1" customWidth="1"/>
    <col min="3849" max="4099" width="8.85546875" style="30"/>
    <col min="4100" max="4104" width="10.5703125" style="30" bestFit="1" customWidth="1"/>
    <col min="4105" max="4355" width="8.85546875" style="30"/>
    <col min="4356" max="4360" width="10.5703125" style="30" bestFit="1" customWidth="1"/>
    <col min="4361" max="4611" width="8.85546875" style="30"/>
    <col min="4612" max="4616" width="10.5703125" style="30" bestFit="1" customWidth="1"/>
    <col min="4617" max="4867" width="8.85546875" style="30"/>
    <col min="4868" max="4872" width="10.5703125" style="30" bestFit="1" customWidth="1"/>
    <col min="4873" max="5123" width="8.85546875" style="30"/>
    <col min="5124" max="5128" width="10.5703125" style="30" bestFit="1" customWidth="1"/>
    <col min="5129" max="5379" width="8.85546875" style="30"/>
    <col min="5380" max="5384" width="10.5703125" style="30" bestFit="1" customWidth="1"/>
    <col min="5385" max="5635" width="8.85546875" style="30"/>
    <col min="5636" max="5640" width="10.5703125" style="30" bestFit="1" customWidth="1"/>
    <col min="5641" max="5891" width="8.85546875" style="30"/>
    <col min="5892" max="5896" width="10.5703125" style="30" bestFit="1" customWidth="1"/>
    <col min="5897" max="6147" width="8.85546875" style="30"/>
    <col min="6148" max="6152" width="10.5703125" style="30" bestFit="1" customWidth="1"/>
    <col min="6153" max="6403" width="8.85546875" style="30"/>
    <col min="6404" max="6408" width="10.5703125" style="30" bestFit="1" customWidth="1"/>
    <col min="6409" max="6659" width="8.85546875" style="30"/>
    <col min="6660" max="6664" width="10.5703125" style="30" bestFit="1" customWidth="1"/>
    <col min="6665" max="6915" width="8.85546875" style="30"/>
    <col min="6916" max="6920" width="10.5703125" style="30" bestFit="1" customWidth="1"/>
    <col min="6921" max="7171" width="8.85546875" style="30"/>
    <col min="7172" max="7176" width="10.5703125" style="30" bestFit="1" customWidth="1"/>
    <col min="7177" max="7427" width="8.85546875" style="30"/>
    <col min="7428" max="7432" width="10.5703125" style="30" bestFit="1" customWidth="1"/>
    <col min="7433" max="7683" width="8.85546875" style="30"/>
    <col min="7684" max="7688" width="10.5703125" style="30" bestFit="1" customWidth="1"/>
    <col min="7689" max="7939" width="8.85546875" style="30"/>
    <col min="7940" max="7944" width="10.5703125" style="30" bestFit="1" customWidth="1"/>
    <col min="7945" max="8195" width="8.85546875" style="30"/>
    <col min="8196" max="8200" width="10.5703125" style="30" bestFit="1" customWidth="1"/>
    <col min="8201" max="8451" width="8.85546875" style="30"/>
    <col min="8452" max="8456" width="10.5703125" style="30" bestFit="1" customWidth="1"/>
    <col min="8457" max="8707" width="8.85546875" style="30"/>
    <col min="8708" max="8712" width="10.5703125" style="30" bestFit="1" customWidth="1"/>
    <col min="8713" max="8963" width="8.85546875" style="30"/>
    <col min="8964" max="8968" width="10.5703125" style="30" bestFit="1" customWidth="1"/>
    <col min="8969" max="9219" width="8.85546875" style="30"/>
    <col min="9220" max="9224" width="10.5703125" style="30" bestFit="1" customWidth="1"/>
    <col min="9225" max="9475" width="8.85546875" style="30"/>
    <col min="9476" max="9480" width="10.5703125" style="30" bestFit="1" customWidth="1"/>
    <col min="9481" max="9731" width="8.85546875" style="30"/>
    <col min="9732" max="9736" width="10.5703125" style="30" bestFit="1" customWidth="1"/>
    <col min="9737" max="9987" width="8.85546875" style="30"/>
    <col min="9988" max="9992" width="10.5703125" style="30" bestFit="1" customWidth="1"/>
    <col min="9993" max="10243" width="8.85546875" style="30"/>
    <col min="10244" max="10248" width="10.5703125" style="30" bestFit="1" customWidth="1"/>
    <col min="10249" max="10499" width="8.85546875" style="30"/>
    <col min="10500" max="10504" width="10.5703125" style="30" bestFit="1" customWidth="1"/>
    <col min="10505" max="10755" width="8.85546875" style="30"/>
    <col min="10756" max="10760" width="10.5703125" style="30" bestFit="1" customWidth="1"/>
    <col min="10761" max="11011" width="8.85546875" style="30"/>
    <col min="11012" max="11016" width="10.5703125" style="30" bestFit="1" customWidth="1"/>
    <col min="11017" max="11267" width="8.85546875" style="30"/>
    <col min="11268" max="11272" width="10.5703125" style="30" bestFit="1" customWidth="1"/>
    <col min="11273" max="11523" width="8.85546875" style="30"/>
    <col min="11524" max="11528" width="10.5703125" style="30" bestFit="1" customWidth="1"/>
    <col min="11529" max="11779" width="8.85546875" style="30"/>
    <col min="11780" max="11784" width="10.5703125" style="30" bestFit="1" customWidth="1"/>
    <col min="11785" max="12035" width="8.85546875" style="30"/>
    <col min="12036" max="12040" width="10.5703125" style="30" bestFit="1" customWidth="1"/>
    <col min="12041" max="12291" width="8.85546875" style="30"/>
    <col min="12292" max="12296" width="10.5703125" style="30" bestFit="1" customWidth="1"/>
    <col min="12297" max="12547" width="8.85546875" style="30"/>
    <col min="12548" max="12552" width="10.5703125" style="30" bestFit="1" customWidth="1"/>
    <col min="12553" max="12803" width="8.85546875" style="30"/>
    <col min="12804" max="12808" width="10.5703125" style="30" bestFit="1" customWidth="1"/>
    <col min="12809" max="13059" width="8.85546875" style="30"/>
    <col min="13060" max="13064" width="10.5703125" style="30" bestFit="1" customWidth="1"/>
    <col min="13065" max="13315" width="8.85546875" style="30"/>
    <col min="13316" max="13320" width="10.5703125" style="30" bestFit="1" customWidth="1"/>
    <col min="13321" max="13571" width="8.85546875" style="30"/>
    <col min="13572" max="13576" width="10.5703125" style="30" bestFit="1" customWidth="1"/>
    <col min="13577" max="13827" width="8.85546875" style="30"/>
    <col min="13828" max="13832" width="10.5703125" style="30" bestFit="1" customWidth="1"/>
    <col min="13833" max="14083" width="8.85546875" style="30"/>
    <col min="14084" max="14088" width="10.5703125" style="30" bestFit="1" customWidth="1"/>
    <col min="14089" max="14339" width="8.85546875" style="30"/>
    <col min="14340" max="14344" width="10.5703125" style="30" bestFit="1" customWidth="1"/>
    <col min="14345" max="14595" width="8.85546875" style="30"/>
    <col min="14596" max="14600" width="10.5703125" style="30" bestFit="1" customWidth="1"/>
    <col min="14601" max="14851" width="8.85546875" style="30"/>
    <col min="14852" max="14856" width="10.5703125" style="30" bestFit="1" customWidth="1"/>
    <col min="14857" max="15107" width="8.85546875" style="30"/>
    <col min="15108" max="15112" width="10.5703125" style="30" bestFit="1" customWidth="1"/>
    <col min="15113" max="15363" width="8.85546875" style="30"/>
    <col min="15364" max="15368" width="10.5703125" style="30" bestFit="1" customWidth="1"/>
    <col min="15369" max="15619" width="8.85546875" style="30"/>
    <col min="15620" max="15624" width="10.5703125" style="30" bestFit="1" customWidth="1"/>
    <col min="15625" max="15875" width="8.85546875" style="30"/>
    <col min="15876" max="15880" width="10.5703125" style="30" bestFit="1" customWidth="1"/>
    <col min="15881" max="16131" width="8.85546875" style="30"/>
    <col min="16132" max="16136" width="10.5703125" style="30" bestFit="1" customWidth="1"/>
    <col min="16137" max="16384" width="8.85546875" style="30"/>
  </cols>
  <sheetData>
    <row r="1" spans="1:10" ht="15.75" x14ac:dyDescent="0.25">
      <c r="A1" s="30" t="s">
        <v>269</v>
      </c>
      <c r="B1" s="31"/>
      <c r="C1" s="166">
        <v>2014</v>
      </c>
      <c r="D1" s="166">
        <v>2015</v>
      </c>
      <c r="E1" s="166">
        <v>2016</v>
      </c>
      <c r="F1" s="166">
        <v>2017</v>
      </c>
      <c r="G1" s="166">
        <v>2018</v>
      </c>
      <c r="H1" s="31"/>
    </row>
    <row r="2" spans="1:10" x14ac:dyDescent="0.25">
      <c r="A2" s="23" t="s">
        <v>2</v>
      </c>
      <c r="B2" s="31"/>
      <c r="C2" s="33">
        <f t="shared" ref="C2:H2" si="0">C3+C4+C5</f>
        <v>1033047.5</v>
      </c>
      <c r="D2" s="33">
        <f t="shared" si="0"/>
        <v>1055009.8</v>
      </c>
      <c r="E2" s="33">
        <f t="shared" si="0"/>
        <v>1090503.5</v>
      </c>
      <c r="F2" s="33">
        <f t="shared" si="0"/>
        <v>1081943.3999999999</v>
      </c>
      <c r="G2" s="33">
        <f t="shared" si="0"/>
        <v>1057489.3999999999</v>
      </c>
      <c r="H2" s="33">
        <f t="shared" si="0"/>
        <v>5317993.5999999996</v>
      </c>
    </row>
    <row r="3" spans="1:10" x14ac:dyDescent="0.25">
      <c r="A3" s="23" t="s">
        <v>3</v>
      </c>
      <c r="B3" s="31"/>
      <c r="C3" s="31">
        <v>622862.80000000005</v>
      </c>
      <c r="D3" s="31">
        <v>618044.1</v>
      </c>
      <c r="E3" s="31">
        <v>637626.9</v>
      </c>
      <c r="F3" s="31">
        <v>660971.1</v>
      </c>
      <c r="G3" s="31">
        <v>660971.1</v>
      </c>
      <c r="H3" s="31">
        <f>C3+D3+E3+F3+G3</f>
        <v>3200476</v>
      </c>
    </row>
    <row r="4" spans="1:10" x14ac:dyDescent="0.25">
      <c r="A4" s="23" t="s">
        <v>4</v>
      </c>
      <c r="B4" s="31"/>
      <c r="C4" s="31"/>
      <c r="D4" s="31">
        <v>1064.5</v>
      </c>
      <c r="E4" s="31"/>
      <c r="F4" s="31"/>
      <c r="G4" s="31"/>
      <c r="H4" s="31">
        <f>C4+D4+E4+F4+G4</f>
        <v>1064.5</v>
      </c>
    </row>
    <row r="5" spans="1:10" x14ac:dyDescent="0.25">
      <c r="A5" s="23" t="s">
        <v>5</v>
      </c>
      <c r="B5" s="31"/>
      <c r="C5" s="31">
        <v>410184.7</v>
      </c>
      <c r="D5" s="171">
        <v>435901.2</v>
      </c>
      <c r="E5" s="171">
        <v>452876.6</v>
      </c>
      <c r="F5" s="31">
        <v>420972.3</v>
      </c>
      <c r="G5" s="228">
        <f>396572.3-54</f>
        <v>396518.3</v>
      </c>
      <c r="H5" s="171">
        <f>C5+D5+E5+F5+G5</f>
        <v>2116453.1</v>
      </c>
      <c r="J5" s="173"/>
    </row>
    <row r="7" spans="1:10" ht="15.75" x14ac:dyDescent="0.25">
      <c r="A7" s="167" t="s">
        <v>270</v>
      </c>
      <c r="B7" s="31"/>
      <c r="C7" s="166">
        <v>2014</v>
      </c>
      <c r="D7" s="166">
        <v>2015</v>
      </c>
      <c r="E7" s="166">
        <v>2016</v>
      </c>
      <c r="F7" s="166">
        <v>2017</v>
      </c>
      <c r="G7" s="166">
        <v>2018</v>
      </c>
      <c r="H7" s="31"/>
    </row>
    <row r="8" spans="1:10" x14ac:dyDescent="0.25">
      <c r="A8" s="23" t="s">
        <v>2</v>
      </c>
      <c r="B8" s="31"/>
      <c r="C8" s="33">
        <f t="shared" ref="C8:H8" si="1">C9+C10+C11</f>
        <v>49517.5</v>
      </c>
      <c r="D8" s="33">
        <f t="shared" si="1"/>
        <v>38376.800000000003</v>
      </c>
      <c r="E8" s="33">
        <f t="shared" si="1"/>
        <v>43600.1</v>
      </c>
      <c r="F8" s="33">
        <f t="shared" si="1"/>
        <v>38151.5</v>
      </c>
      <c r="G8" s="33">
        <f t="shared" si="1"/>
        <v>38151.5</v>
      </c>
      <c r="H8" s="33">
        <f t="shared" si="1"/>
        <v>207797.4</v>
      </c>
      <c r="J8" s="168"/>
    </row>
    <row r="9" spans="1:10" x14ac:dyDescent="0.25">
      <c r="A9" s="23" t="s">
        <v>3</v>
      </c>
      <c r="B9" s="31"/>
      <c r="C9" s="31">
        <v>36747.599999999999</v>
      </c>
      <c r="D9" s="171">
        <v>27768.799999999999</v>
      </c>
      <c r="E9" s="31">
        <v>31261.7</v>
      </c>
      <c r="F9" s="31">
        <v>29564.6</v>
      </c>
      <c r="G9" s="31">
        <v>29564.6</v>
      </c>
      <c r="H9" s="171">
        <f>C9+D9+E9+F9+G9</f>
        <v>154907.29999999999</v>
      </c>
    </row>
    <row r="10" spans="1:10" x14ac:dyDescent="0.25">
      <c r="A10" s="23" t="s">
        <v>4</v>
      </c>
      <c r="B10" s="31"/>
      <c r="C10" s="31"/>
      <c r="D10" s="171">
        <v>722.4</v>
      </c>
      <c r="E10" s="171">
        <v>2386</v>
      </c>
      <c r="F10" s="31"/>
      <c r="G10" s="31"/>
      <c r="H10" s="31">
        <f>C10+D10+E10+F10+G10</f>
        <v>3108.4</v>
      </c>
    </row>
    <row r="11" spans="1:10" x14ac:dyDescent="0.25">
      <c r="A11" s="23" t="s">
        <v>5</v>
      </c>
      <c r="B11" s="31"/>
      <c r="C11" s="31">
        <v>12769.9</v>
      </c>
      <c r="D11" s="171">
        <v>9885.6</v>
      </c>
      <c r="E11" s="31">
        <v>9952.4</v>
      </c>
      <c r="F11" s="31">
        <v>8586.9</v>
      </c>
      <c r="G11" s="31">
        <v>8586.9</v>
      </c>
      <c r="H11" s="171">
        <f>C11+D11+E11+F11+G11</f>
        <v>49781.700000000004</v>
      </c>
      <c r="J11" s="172"/>
    </row>
    <row r="13" spans="1:10" ht="15.75" x14ac:dyDescent="0.25">
      <c r="A13" s="167" t="s">
        <v>271</v>
      </c>
      <c r="B13" s="31"/>
      <c r="C13" s="166">
        <v>2014</v>
      </c>
      <c r="D13" s="166">
        <v>2015</v>
      </c>
      <c r="E13" s="166">
        <v>2016</v>
      </c>
      <c r="F13" s="166">
        <v>2017</v>
      </c>
      <c r="G13" s="166">
        <v>2018</v>
      </c>
      <c r="H13" s="31"/>
    </row>
    <row r="14" spans="1:10" x14ac:dyDescent="0.25">
      <c r="A14" s="23" t="s">
        <v>2</v>
      </c>
      <c r="B14" s="31"/>
      <c r="C14" s="33">
        <f t="shared" ref="C14:H14" si="2">C15+C16+C17</f>
        <v>48204</v>
      </c>
      <c r="D14" s="33">
        <f t="shared" si="2"/>
        <v>49476.800000000003</v>
      </c>
      <c r="E14" s="33">
        <f t="shared" si="2"/>
        <v>50200.09</v>
      </c>
      <c r="F14" s="33">
        <f t="shared" si="2"/>
        <v>48250.5</v>
      </c>
      <c r="G14" s="33">
        <f t="shared" si="2"/>
        <v>48250.5</v>
      </c>
      <c r="H14" s="33">
        <f t="shared" si="2"/>
        <v>244381.89</v>
      </c>
    </row>
    <row r="15" spans="1:10" x14ac:dyDescent="0.25">
      <c r="A15" s="23" t="s">
        <v>3</v>
      </c>
      <c r="B15" s="31"/>
      <c r="C15" s="31"/>
      <c r="D15" s="31"/>
      <c r="E15" s="31"/>
      <c r="F15" s="31"/>
      <c r="G15" s="31"/>
      <c r="H15" s="31">
        <f>C15+D15+E15+F15+G15</f>
        <v>0</v>
      </c>
    </row>
    <row r="16" spans="1:10" x14ac:dyDescent="0.25">
      <c r="A16" s="23" t="s">
        <v>4</v>
      </c>
      <c r="B16" s="31"/>
      <c r="C16" s="31"/>
      <c r="D16" s="31"/>
      <c r="E16" s="31"/>
      <c r="F16" s="31"/>
      <c r="G16" s="31"/>
      <c r="H16" s="31">
        <f>C16+D16+E16+F16+G16</f>
        <v>0</v>
      </c>
    </row>
    <row r="17" spans="1:8" x14ac:dyDescent="0.25">
      <c r="A17" s="23" t="s">
        <v>5</v>
      </c>
      <c r="B17" s="31"/>
      <c r="C17" s="171">
        <v>48204</v>
      </c>
      <c r="D17" s="171">
        <v>49476.800000000003</v>
      </c>
      <c r="E17" s="171">
        <v>50200.09</v>
      </c>
      <c r="F17" s="31">
        <v>48250.5</v>
      </c>
      <c r="G17" s="31">
        <v>48250.5</v>
      </c>
      <c r="H17" s="171">
        <f>G17+F17+E17+D17+C17</f>
        <v>244381.89</v>
      </c>
    </row>
    <row r="19" spans="1:8" ht="15.75" x14ac:dyDescent="0.25">
      <c r="A19" s="167" t="s">
        <v>272</v>
      </c>
      <c r="B19" s="31"/>
      <c r="C19" s="166">
        <v>2014</v>
      </c>
      <c r="D19" s="166">
        <v>2015</v>
      </c>
      <c r="E19" s="166">
        <v>2016</v>
      </c>
      <c r="F19" s="166">
        <v>2017</v>
      </c>
      <c r="G19" s="166">
        <v>2018</v>
      </c>
      <c r="H19" s="31"/>
    </row>
    <row r="20" spans="1:8" x14ac:dyDescent="0.25">
      <c r="A20" s="23" t="s">
        <v>2</v>
      </c>
      <c r="B20" s="31"/>
      <c r="C20" s="33">
        <f t="shared" ref="C20:H20" si="3">C21+C22+C23</f>
        <v>173.5</v>
      </c>
      <c r="D20" s="33">
        <f t="shared" si="3"/>
        <v>124</v>
      </c>
      <c r="E20" s="33">
        <f t="shared" si="3"/>
        <v>156</v>
      </c>
      <c r="F20" s="33">
        <f t="shared" si="3"/>
        <v>156</v>
      </c>
      <c r="G20" s="33">
        <f t="shared" si="3"/>
        <v>156</v>
      </c>
      <c r="H20" s="33">
        <f t="shared" si="3"/>
        <v>765.5</v>
      </c>
    </row>
    <row r="21" spans="1:8" x14ac:dyDescent="0.25">
      <c r="A21" s="23" t="s">
        <v>3</v>
      </c>
      <c r="B21" s="31"/>
      <c r="C21" s="31"/>
      <c r="D21" s="31"/>
      <c r="E21" s="31"/>
      <c r="F21" s="31"/>
      <c r="G21" s="31"/>
      <c r="H21" s="31">
        <f>C21+D21+E21+F21+G21</f>
        <v>0</v>
      </c>
    </row>
    <row r="22" spans="1:8" x14ac:dyDescent="0.25">
      <c r="A22" s="23" t="s">
        <v>4</v>
      </c>
      <c r="B22" s="31"/>
      <c r="C22" s="31"/>
      <c r="D22" s="31"/>
      <c r="E22" s="31"/>
      <c r="F22" s="31"/>
      <c r="G22" s="31"/>
      <c r="H22" s="31">
        <f>C22+D22+E22+F22+G22</f>
        <v>0</v>
      </c>
    </row>
    <row r="23" spans="1:8" x14ac:dyDescent="0.25">
      <c r="A23" s="23" t="s">
        <v>5</v>
      </c>
      <c r="B23" s="31"/>
      <c r="C23" s="31">
        <v>173.5</v>
      </c>
      <c r="D23" s="171">
        <v>124</v>
      </c>
      <c r="E23" s="171">
        <v>156</v>
      </c>
      <c r="F23" s="171">
        <v>156</v>
      </c>
      <c r="G23" s="171">
        <v>156</v>
      </c>
      <c r="H23" s="31">
        <f>C23+D23+E23+F23+G23</f>
        <v>765.5</v>
      </c>
    </row>
    <row r="25" spans="1:8" ht="15.75" x14ac:dyDescent="0.25">
      <c r="A25" s="167" t="s">
        <v>273</v>
      </c>
      <c r="B25" s="31"/>
      <c r="C25" s="166">
        <v>2014</v>
      </c>
      <c r="D25" s="166">
        <v>2015</v>
      </c>
      <c r="E25" s="166">
        <v>2016</v>
      </c>
      <c r="F25" s="166">
        <v>2017</v>
      </c>
      <c r="G25" s="166">
        <v>2018</v>
      </c>
      <c r="H25" s="31"/>
    </row>
    <row r="26" spans="1:8" x14ac:dyDescent="0.25">
      <c r="A26" s="23" t="s">
        <v>2</v>
      </c>
      <c r="B26" s="31"/>
      <c r="C26" s="33">
        <f t="shared" ref="C26:H26" si="4">C27+C28+C29</f>
        <v>62561.1</v>
      </c>
      <c r="D26" s="33">
        <f t="shared" si="4"/>
        <v>63567.1</v>
      </c>
      <c r="E26" s="33">
        <f t="shared" si="4"/>
        <v>72143.3</v>
      </c>
      <c r="F26" s="33">
        <f t="shared" si="4"/>
        <v>79882.399999999994</v>
      </c>
      <c r="G26" s="33">
        <f t="shared" si="4"/>
        <v>79882.399999999994</v>
      </c>
      <c r="H26" s="33">
        <f t="shared" si="4"/>
        <v>358036.30000000005</v>
      </c>
    </row>
    <row r="27" spans="1:8" x14ac:dyDescent="0.25">
      <c r="A27" s="23" t="s">
        <v>3</v>
      </c>
      <c r="B27" s="31"/>
      <c r="C27" s="31">
        <v>62501.1</v>
      </c>
      <c r="D27" s="31">
        <v>63507.1</v>
      </c>
      <c r="E27" s="31">
        <v>72083.3</v>
      </c>
      <c r="F27" s="31">
        <v>79822.399999999994</v>
      </c>
      <c r="G27" s="31">
        <v>79822.399999999994</v>
      </c>
      <c r="H27" s="31">
        <f>C27+D27+E27+F27+G27</f>
        <v>357736.30000000005</v>
      </c>
    </row>
    <row r="28" spans="1:8" x14ac:dyDescent="0.25">
      <c r="A28" s="23" t="s">
        <v>4</v>
      </c>
      <c r="B28" s="31"/>
      <c r="C28" s="31"/>
      <c r="D28" s="31"/>
      <c r="E28" s="31"/>
      <c r="F28" s="31"/>
      <c r="G28" s="31"/>
      <c r="H28" s="31">
        <f>C28+D28+E28+F28+G28</f>
        <v>0</v>
      </c>
    </row>
    <row r="29" spans="1:8" x14ac:dyDescent="0.25">
      <c r="A29" s="23" t="s">
        <v>5</v>
      </c>
      <c r="B29" s="31"/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f>C29+D29+E29+F29+G29</f>
        <v>300</v>
      </c>
    </row>
    <row r="31" spans="1:8" ht="15.75" x14ac:dyDescent="0.25">
      <c r="A31" s="167"/>
      <c r="B31" s="31"/>
      <c r="C31" s="166">
        <v>2014</v>
      </c>
      <c r="D31" s="229">
        <v>2015</v>
      </c>
      <c r="E31" s="166">
        <v>2016</v>
      </c>
      <c r="F31" s="166">
        <v>2017</v>
      </c>
      <c r="G31" s="166">
        <v>2018</v>
      </c>
      <c r="H31" s="31"/>
    </row>
    <row r="32" spans="1:8" x14ac:dyDescent="0.25">
      <c r="A32" s="23" t="s">
        <v>2</v>
      </c>
      <c r="B32" s="31"/>
      <c r="C32" s="33">
        <f t="shared" ref="C32:H32" si="5">C33+C34+C35</f>
        <v>1193503.6000000001</v>
      </c>
      <c r="D32" s="33">
        <f t="shared" si="5"/>
        <v>1206554.5</v>
      </c>
      <c r="E32" s="33">
        <f t="shared" si="5"/>
        <v>1256602.99</v>
      </c>
      <c r="F32" s="33">
        <f t="shared" si="5"/>
        <v>1248383.8</v>
      </c>
      <c r="G32" s="33">
        <f t="shared" si="5"/>
        <v>1223929.8</v>
      </c>
      <c r="H32" s="33">
        <f t="shared" si="5"/>
        <v>6128974.6899999995</v>
      </c>
    </row>
    <row r="33" spans="1:8" x14ac:dyDescent="0.25">
      <c r="A33" s="23" t="s">
        <v>3</v>
      </c>
      <c r="B33" s="31"/>
      <c r="C33" s="171">
        <f t="shared" ref="C33:G35" si="6">C3+C9+C15+C21+C27</f>
        <v>722111.5</v>
      </c>
      <c r="D33" s="171">
        <f t="shared" si="6"/>
        <v>709320</v>
      </c>
      <c r="E33" s="171">
        <f t="shared" si="6"/>
        <v>740971.9</v>
      </c>
      <c r="F33" s="171">
        <f t="shared" si="6"/>
        <v>770358.1</v>
      </c>
      <c r="G33" s="171">
        <f t="shared" si="6"/>
        <v>770358.1</v>
      </c>
      <c r="H33" s="171">
        <f>C33+D33+E33+F33+G33</f>
        <v>3713119.6</v>
      </c>
    </row>
    <row r="34" spans="1:8" x14ac:dyDescent="0.25">
      <c r="A34" s="23" t="s">
        <v>4</v>
      </c>
      <c r="B34" s="31"/>
      <c r="C34" s="171">
        <f t="shared" si="6"/>
        <v>0</v>
      </c>
      <c r="D34" s="171">
        <f t="shared" si="6"/>
        <v>1786.9</v>
      </c>
      <c r="E34" s="171">
        <f t="shared" si="6"/>
        <v>2386</v>
      </c>
      <c r="F34" s="171">
        <f t="shared" si="6"/>
        <v>0</v>
      </c>
      <c r="G34" s="171">
        <f t="shared" si="6"/>
        <v>0</v>
      </c>
      <c r="H34" s="171">
        <f>C34+D34+E34+F34+G34</f>
        <v>4172.8999999999996</v>
      </c>
    </row>
    <row r="35" spans="1:8" x14ac:dyDescent="0.25">
      <c r="A35" s="23" t="s">
        <v>5</v>
      </c>
      <c r="B35" s="31"/>
      <c r="C35" s="33">
        <f t="shared" si="6"/>
        <v>471392.10000000003</v>
      </c>
      <c r="D35" s="33">
        <f t="shared" si="6"/>
        <v>495447.6</v>
      </c>
      <c r="E35" s="33">
        <f>E5+E11+E17+E23+E29</f>
        <v>513245.08999999997</v>
      </c>
      <c r="F35" s="33">
        <f t="shared" si="6"/>
        <v>478025.7</v>
      </c>
      <c r="G35" s="33">
        <f t="shared" si="6"/>
        <v>453571.7</v>
      </c>
      <c r="H35" s="171">
        <f>C35+D35+E35+F35+G35</f>
        <v>2411682.19</v>
      </c>
    </row>
    <row r="36" spans="1:8" x14ac:dyDescent="0.25">
      <c r="D36" s="30" t="s">
        <v>5</v>
      </c>
      <c r="E36" s="30">
        <v>494559.4</v>
      </c>
    </row>
    <row r="37" spans="1:8" x14ac:dyDescent="0.25">
      <c r="D37" s="55"/>
      <c r="E37" s="55">
        <f>E35-E36</f>
        <v>18685.689999999944</v>
      </c>
      <c r="F37" s="168"/>
      <c r="G37" s="168"/>
    </row>
    <row r="38" spans="1:8" x14ac:dyDescent="0.25">
      <c r="D38" s="30" t="s">
        <v>3</v>
      </c>
      <c r="E38" s="30">
        <v>742882.6</v>
      </c>
      <c r="F38" s="168"/>
      <c r="G38" s="168"/>
    </row>
    <row r="39" spans="1:8" x14ac:dyDescent="0.25">
      <c r="E39" s="172">
        <f>E33-E38</f>
        <v>-1910.6999999999534</v>
      </c>
      <c r="F39" s="168"/>
      <c r="G39" s="16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129" customWidth="1"/>
    <col min="2" max="2" width="27.28515625" style="129" customWidth="1"/>
    <col min="3" max="3" width="9" style="129" customWidth="1"/>
    <col min="4" max="4" width="10.5703125" style="129" customWidth="1"/>
    <col min="5" max="7" width="9.140625" style="129" customWidth="1"/>
    <col min="8" max="8" width="10.28515625" style="129" customWidth="1"/>
    <col min="9" max="9" width="8.85546875" style="129" customWidth="1"/>
    <col min="10" max="10" width="13.140625" style="129" customWidth="1"/>
    <col min="11" max="11" width="13.28515625" style="129" customWidth="1"/>
    <col min="12" max="12" width="11.85546875" style="129" customWidth="1"/>
    <col min="13" max="13" width="10.42578125" style="129" customWidth="1"/>
    <col min="14" max="14" width="9.7109375" style="129" customWidth="1"/>
    <col min="15" max="15" width="11.42578125" style="129" customWidth="1"/>
    <col min="16" max="16" width="37" style="129" customWidth="1"/>
    <col min="17" max="260" width="9.140625" style="129"/>
    <col min="261" max="261" width="34.28515625" style="129" customWidth="1"/>
    <col min="262" max="262" width="17.28515625" style="129" customWidth="1"/>
    <col min="263" max="263" width="11.28515625" style="129" customWidth="1"/>
    <col min="264" max="264" width="10.140625" style="129" customWidth="1"/>
    <col min="265" max="265" width="9.42578125" style="129" customWidth="1"/>
    <col min="266" max="266" width="10.85546875" style="129" customWidth="1"/>
    <col min="267" max="267" width="8.140625" style="129" customWidth="1"/>
    <col min="268" max="268" width="10" style="129" customWidth="1"/>
    <col min="269" max="269" width="10.7109375" style="129" bestFit="1" customWidth="1"/>
    <col min="270" max="270" width="10.28515625" style="129" bestFit="1" customWidth="1"/>
    <col min="271" max="271" width="10.42578125" style="129" customWidth="1"/>
    <col min="272" max="516" width="9.140625" style="129"/>
    <col min="517" max="517" width="34.28515625" style="129" customWidth="1"/>
    <col min="518" max="518" width="17.28515625" style="129" customWidth="1"/>
    <col min="519" max="519" width="11.28515625" style="129" customWidth="1"/>
    <col min="520" max="520" width="10.140625" style="129" customWidth="1"/>
    <col min="521" max="521" width="9.42578125" style="129" customWidth="1"/>
    <col min="522" max="522" width="10.85546875" style="129" customWidth="1"/>
    <col min="523" max="523" width="8.140625" style="129" customWidth="1"/>
    <col min="524" max="524" width="10" style="129" customWidth="1"/>
    <col min="525" max="525" width="10.7109375" style="129" bestFit="1" customWidth="1"/>
    <col min="526" max="526" width="10.28515625" style="129" bestFit="1" customWidth="1"/>
    <col min="527" max="527" width="10.42578125" style="129" customWidth="1"/>
    <col min="528" max="772" width="9.140625" style="129"/>
    <col min="773" max="773" width="34.28515625" style="129" customWidth="1"/>
    <col min="774" max="774" width="17.28515625" style="129" customWidth="1"/>
    <col min="775" max="775" width="11.28515625" style="129" customWidth="1"/>
    <col min="776" max="776" width="10.140625" style="129" customWidth="1"/>
    <col min="777" max="777" width="9.42578125" style="129" customWidth="1"/>
    <col min="778" max="778" width="10.85546875" style="129" customWidth="1"/>
    <col min="779" max="779" width="8.140625" style="129" customWidth="1"/>
    <col min="780" max="780" width="10" style="129" customWidth="1"/>
    <col min="781" max="781" width="10.7109375" style="129" bestFit="1" customWidth="1"/>
    <col min="782" max="782" width="10.28515625" style="129" bestFit="1" customWidth="1"/>
    <col min="783" max="783" width="10.42578125" style="129" customWidth="1"/>
    <col min="784" max="1028" width="9.140625" style="129"/>
    <col min="1029" max="1029" width="34.28515625" style="129" customWidth="1"/>
    <col min="1030" max="1030" width="17.28515625" style="129" customWidth="1"/>
    <col min="1031" max="1031" width="11.28515625" style="129" customWidth="1"/>
    <col min="1032" max="1032" width="10.140625" style="129" customWidth="1"/>
    <col min="1033" max="1033" width="9.42578125" style="129" customWidth="1"/>
    <col min="1034" max="1034" width="10.85546875" style="129" customWidth="1"/>
    <col min="1035" max="1035" width="8.140625" style="129" customWidth="1"/>
    <col min="1036" max="1036" width="10" style="129" customWidth="1"/>
    <col min="1037" max="1037" width="10.7109375" style="129" bestFit="1" customWidth="1"/>
    <col min="1038" max="1038" width="10.28515625" style="129" bestFit="1" customWidth="1"/>
    <col min="1039" max="1039" width="10.42578125" style="129" customWidth="1"/>
    <col min="1040" max="1284" width="9.140625" style="129"/>
    <col min="1285" max="1285" width="34.28515625" style="129" customWidth="1"/>
    <col min="1286" max="1286" width="17.28515625" style="129" customWidth="1"/>
    <col min="1287" max="1287" width="11.28515625" style="129" customWidth="1"/>
    <col min="1288" max="1288" width="10.140625" style="129" customWidth="1"/>
    <col min="1289" max="1289" width="9.42578125" style="129" customWidth="1"/>
    <col min="1290" max="1290" width="10.85546875" style="129" customWidth="1"/>
    <col min="1291" max="1291" width="8.140625" style="129" customWidth="1"/>
    <col min="1292" max="1292" width="10" style="129" customWidth="1"/>
    <col min="1293" max="1293" width="10.7109375" style="129" bestFit="1" customWidth="1"/>
    <col min="1294" max="1294" width="10.28515625" style="129" bestFit="1" customWidth="1"/>
    <col min="1295" max="1295" width="10.42578125" style="129" customWidth="1"/>
    <col min="1296" max="1540" width="9.140625" style="129"/>
    <col min="1541" max="1541" width="34.28515625" style="129" customWidth="1"/>
    <col min="1542" max="1542" width="17.28515625" style="129" customWidth="1"/>
    <col min="1543" max="1543" width="11.28515625" style="129" customWidth="1"/>
    <col min="1544" max="1544" width="10.140625" style="129" customWidth="1"/>
    <col min="1545" max="1545" width="9.42578125" style="129" customWidth="1"/>
    <col min="1546" max="1546" width="10.85546875" style="129" customWidth="1"/>
    <col min="1547" max="1547" width="8.140625" style="129" customWidth="1"/>
    <col min="1548" max="1548" width="10" style="129" customWidth="1"/>
    <col min="1549" max="1549" width="10.7109375" style="129" bestFit="1" customWidth="1"/>
    <col min="1550" max="1550" width="10.28515625" style="129" bestFit="1" customWidth="1"/>
    <col min="1551" max="1551" width="10.42578125" style="129" customWidth="1"/>
    <col min="1552" max="1796" width="9.140625" style="129"/>
    <col min="1797" max="1797" width="34.28515625" style="129" customWidth="1"/>
    <col min="1798" max="1798" width="17.28515625" style="129" customWidth="1"/>
    <col min="1799" max="1799" width="11.28515625" style="129" customWidth="1"/>
    <col min="1800" max="1800" width="10.140625" style="129" customWidth="1"/>
    <col min="1801" max="1801" width="9.42578125" style="129" customWidth="1"/>
    <col min="1802" max="1802" width="10.85546875" style="129" customWidth="1"/>
    <col min="1803" max="1803" width="8.140625" style="129" customWidth="1"/>
    <col min="1804" max="1804" width="10" style="129" customWidth="1"/>
    <col min="1805" max="1805" width="10.7109375" style="129" bestFit="1" customWidth="1"/>
    <col min="1806" max="1806" width="10.28515625" style="129" bestFit="1" customWidth="1"/>
    <col min="1807" max="1807" width="10.42578125" style="129" customWidth="1"/>
    <col min="1808" max="2052" width="9.140625" style="129"/>
    <col min="2053" max="2053" width="34.28515625" style="129" customWidth="1"/>
    <col min="2054" max="2054" width="17.28515625" style="129" customWidth="1"/>
    <col min="2055" max="2055" width="11.28515625" style="129" customWidth="1"/>
    <col min="2056" max="2056" width="10.140625" style="129" customWidth="1"/>
    <col min="2057" max="2057" width="9.42578125" style="129" customWidth="1"/>
    <col min="2058" max="2058" width="10.85546875" style="129" customWidth="1"/>
    <col min="2059" max="2059" width="8.140625" style="129" customWidth="1"/>
    <col min="2060" max="2060" width="10" style="129" customWidth="1"/>
    <col min="2061" max="2061" width="10.7109375" style="129" bestFit="1" customWidth="1"/>
    <col min="2062" max="2062" width="10.28515625" style="129" bestFit="1" customWidth="1"/>
    <col min="2063" max="2063" width="10.42578125" style="129" customWidth="1"/>
    <col min="2064" max="2308" width="9.140625" style="129"/>
    <col min="2309" max="2309" width="34.28515625" style="129" customWidth="1"/>
    <col min="2310" max="2310" width="17.28515625" style="129" customWidth="1"/>
    <col min="2311" max="2311" width="11.28515625" style="129" customWidth="1"/>
    <col min="2312" max="2312" width="10.140625" style="129" customWidth="1"/>
    <col min="2313" max="2313" width="9.42578125" style="129" customWidth="1"/>
    <col min="2314" max="2314" width="10.85546875" style="129" customWidth="1"/>
    <col min="2315" max="2315" width="8.140625" style="129" customWidth="1"/>
    <col min="2316" max="2316" width="10" style="129" customWidth="1"/>
    <col min="2317" max="2317" width="10.7109375" style="129" bestFit="1" customWidth="1"/>
    <col min="2318" max="2318" width="10.28515625" style="129" bestFit="1" customWidth="1"/>
    <col min="2319" max="2319" width="10.42578125" style="129" customWidth="1"/>
    <col min="2320" max="2564" width="9.140625" style="129"/>
    <col min="2565" max="2565" width="34.28515625" style="129" customWidth="1"/>
    <col min="2566" max="2566" width="17.28515625" style="129" customWidth="1"/>
    <col min="2567" max="2567" width="11.28515625" style="129" customWidth="1"/>
    <col min="2568" max="2568" width="10.140625" style="129" customWidth="1"/>
    <col min="2569" max="2569" width="9.42578125" style="129" customWidth="1"/>
    <col min="2570" max="2570" width="10.85546875" style="129" customWidth="1"/>
    <col min="2571" max="2571" width="8.140625" style="129" customWidth="1"/>
    <col min="2572" max="2572" width="10" style="129" customWidth="1"/>
    <col min="2573" max="2573" width="10.7109375" style="129" bestFit="1" customWidth="1"/>
    <col min="2574" max="2574" width="10.28515625" style="129" bestFit="1" customWidth="1"/>
    <col min="2575" max="2575" width="10.42578125" style="129" customWidth="1"/>
    <col min="2576" max="2820" width="9.140625" style="129"/>
    <col min="2821" max="2821" width="34.28515625" style="129" customWidth="1"/>
    <col min="2822" max="2822" width="17.28515625" style="129" customWidth="1"/>
    <col min="2823" max="2823" width="11.28515625" style="129" customWidth="1"/>
    <col min="2824" max="2824" width="10.140625" style="129" customWidth="1"/>
    <col min="2825" max="2825" width="9.42578125" style="129" customWidth="1"/>
    <col min="2826" max="2826" width="10.85546875" style="129" customWidth="1"/>
    <col min="2827" max="2827" width="8.140625" style="129" customWidth="1"/>
    <col min="2828" max="2828" width="10" style="129" customWidth="1"/>
    <col min="2829" max="2829" width="10.7109375" style="129" bestFit="1" customWidth="1"/>
    <col min="2830" max="2830" width="10.28515625" style="129" bestFit="1" customWidth="1"/>
    <col min="2831" max="2831" width="10.42578125" style="129" customWidth="1"/>
    <col min="2832" max="3076" width="9.140625" style="129"/>
    <col min="3077" max="3077" width="34.28515625" style="129" customWidth="1"/>
    <col min="3078" max="3078" width="17.28515625" style="129" customWidth="1"/>
    <col min="3079" max="3079" width="11.28515625" style="129" customWidth="1"/>
    <col min="3080" max="3080" width="10.140625" style="129" customWidth="1"/>
    <col min="3081" max="3081" width="9.42578125" style="129" customWidth="1"/>
    <col min="3082" max="3082" width="10.85546875" style="129" customWidth="1"/>
    <col min="3083" max="3083" width="8.140625" style="129" customWidth="1"/>
    <col min="3084" max="3084" width="10" style="129" customWidth="1"/>
    <col min="3085" max="3085" width="10.7109375" style="129" bestFit="1" customWidth="1"/>
    <col min="3086" max="3086" width="10.28515625" style="129" bestFit="1" customWidth="1"/>
    <col min="3087" max="3087" width="10.42578125" style="129" customWidth="1"/>
    <col min="3088" max="3332" width="9.140625" style="129"/>
    <col min="3333" max="3333" width="34.28515625" style="129" customWidth="1"/>
    <col min="3334" max="3334" width="17.28515625" style="129" customWidth="1"/>
    <col min="3335" max="3335" width="11.28515625" style="129" customWidth="1"/>
    <col min="3336" max="3336" width="10.140625" style="129" customWidth="1"/>
    <col min="3337" max="3337" width="9.42578125" style="129" customWidth="1"/>
    <col min="3338" max="3338" width="10.85546875" style="129" customWidth="1"/>
    <col min="3339" max="3339" width="8.140625" style="129" customWidth="1"/>
    <col min="3340" max="3340" width="10" style="129" customWidth="1"/>
    <col min="3341" max="3341" width="10.7109375" style="129" bestFit="1" customWidth="1"/>
    <col min="3342" max="3342" width="10.28515625" style="129" bestFit="1" customWidth="1"/>
    <col min="3343" max="3343" width="10.42578125" style="129" customWidth="1"/>
    <col min="3344" max="3588" width="9.140625" style="129"/>
    <col min="3589" max="3589" width="34.28515625" style="129" customWidth="1"/>
    <col min="3590" max="3590" width="17.28515625" style="129" customWidth="1"/>
    <col min="3591" max="3591" width="11.28515625" style="129" customWidth="1"/>
    <col min="3592" max="3592" width="10.140625" style="129" customWidth="1"/>
    <col min="3593" max="3593" width="9.42578125" style="129" customWidth="1"/>
    <col min="3594" max="3594" width="10.85546875" style="129" customWidth="1"/>
    <col min="3595" max="3595" width="8.140625" style="129" customWidth="1"/>
    <col min="3596" max="3596" width="10" style="129" customWidth="1"/>
    <col min="3597" max="3597" width="10.7109375" style="129" bestFit="1" customWidth="1"/>
    <col min="3598" max="3598" width="10.28515625" style="129" bestFit="1" customWidth="1"/>
    <col min="3599" max="3599" width="10.42578125" style="129" customWidth="1"/>
    <col min="3600" max="3844" width="9.140625" style="129"/>
    <col min="3845" max="3845" width="34.28515625" style="129" customWidth="1"/>
    <col min="3846" max="3846" width="17.28515625" style="129" customWidth="1"/>
    <col min="3847" max="3847" width="11.28515625" style="129" customWidth="1"/>
    <col min="3848" max="3848" width="10.140625" style="129" customWidth="1"/>
    <col min="3849" max="3849" width="9.42578125" style="129" customWidth="1"/>
    <col min="3850" max="3850" width="10.85546875" style="129" customWidth="1"/>
    <col min="3851" max="3851" width="8.140625" style="129" customWidth="1"/>
    <col min="3852" max="3852" width="10" style="129" customWidth="1"/>
    <col min="3853" max="3853" width="10.7109375" style="129" bestFit="1" customWidth="1"/>
    <col min="3854" max="3854" width="10.28515625" style="129" bestFit="1" customWidth="1"/>
    <col min="3855" max="3855" width="10.42578125" style="129" customWidth="1"/>
    <col min="3856" max="4100" width="9.140625" style="129"/>
    <col min="4101" max="4101" width="34.28515625" style="129" customWidth="1"/>
    <col min="4102" max="4102" width="17.28515625" style="129" customWidth="1"/>
    <col min="4103" max="4103" width="11.28515625" style="129" customWidth="1"/>
    <col min="4104" max="4104" width="10.140625" style="129" customWidth="1"/>
    <col min="4105" max="4105" width="9.42578125" style="129" customWidth="1"/>
    <col min="4106" max="4106" width="10.85546875" style="129" customWidth="1"/>
    <col min="4107" max="4107" width="8.140625" style="129" customWidth="1"/>
    <col min="4108" max="4108" width="10" style="129" customWidth="1"/>
    <col min="4109" max="4109" width="10.7109375" style="129" bestFit="1" customWidth="1"/>
    <col min="4110" max="4110" width="10.28515625" style="129" bestFit="1" customWidth="1"/>
    <col min="4111" max="4111" width="10.42578125" style="129" customWidth="1"/>
    <col min="4112" max="4356" width="9.140625" style="129"/>
    <col min="4357" max="4357" width="34.28515625" style="129" customWidth="1"/>
    <col min="4358" max="4358" width="17.28515625" style="129" customWidth="1"/>
    <col min="4359" max="4359" width="11.28515625" style="129" customWidth="1"/>
    <col min="4360" max="4360" width="10.140625" style="129" customWidth="1"/>
    <col min="4361" max="4361" width="9.42578125" style="129" customWidth="1"/>
    <col min="4362" max="4362" width="10.85546875" style="129" customWidth="1"/>
    <col min="4363" max="4363" width="8.140625" style="129" customWidth="1"/>
    <col min="4364" max="4364" width="10" style="129" customWidth="1"/>
    <col min="4365" max="4365" width="10.7109375" style="129" bestFit="1" customWidth="1"/>
    <col min="4366" max="4366" width="10.28515625" style="129" bestFit="1" customWidth="1"/>
    <col min="4367" max="4367" width="10.42578125" style="129" customWidth="1"/>
    <col min="4368" max="4612" width="9.140625" style="129"/>
    <col min="4613" max="4613" width="34.28515625" style="129" customWidth="1"/>
    <col min="4614" max="4614" width="17.28515625" style="129" customWidth="1"/>
    <col min="4615" max="4615" width="11.28515625" style="129" customWidth="1"/>
    <col min="4616" max="4616" width="10.140625" style="129" customWidth="1"/>
    <col min="4617" max="4617" width="9.42578125" style="129" customWidth="1"/>
    <col min="4618" max="4618" width="10.85546875" style="129" customWidth="1"/>
    <col min="4619" max="4619" width="8.140625" style="129" customWidth="1"/>
    <col min="4620" max="4620" width="10" style="129" customWidth="1"/>
    <col min="4621" max="4621" width="10.7109375" style="129" bestFit="1" customWidth="1"/>
    <col min="4622" max="4622" width="10.28515625" style="129" bestFit="1" customWidth="1"/>
    <col min="4623" max="4623" width="10.42578125" style="129" customWidth="1"/>
    <col min="4624" max="4868" width="9.140625" style="129"/>
    <col min="4869" max="4869" width="34.28515625" style="129" customWidth="1"/>
    <col min="4870" max="4870" width="17.28515625" style="129" customWidth="1"/>
    <col min="4871" max="4871" width="11.28515625" style="129" customWidth="1"/>
    <col min="4872" max="4872" width="10.140625" style="129" customWidth="1"/>
    <col min="4873" max="4873" width="9.42578125" style="129" customWidth="1"/>
    <col min="4874" max="4874" width="10.85546875" style="129" customWidth="1"/>
    <col min="4875" max="4875" width="8.140625" style="129" customWidth="1"/>
    <col min="4876" max="4876" width="10" style="129" customWidth="1"/>
    <col min="4877" max="4877" width="10.7109375" style="129" bestFit="1" customWidth="1"/>
    <col min="4878" max="4878" width="10.28515625" style="129" bestFit="1" customWidth="1"/>
    <col min="4879" max="4879" width="10.42578125" style="129" customWidth="1"/>
    <col min="4880" max="5124" width="9.140625" style="129"/>
    <col min="5125" max="5125" width="34.28515625" style="129" customWidth="1"/>
    <col min="5126" max="5126" width="17.28515625" style="129" customWidth="1"/>
    <col min="5127" max="5127" width="11.28515625" style="129" customWidth="1"/>
    <col min="5128" max="5128" width="10.140625" style="129" customWidth="1"/>
    <col min="5129" max="5129" width="9.42578125" style="129" customWidth="1"/>
    <col min="5130" max="5130" width="10.85546875" style="129" customWidth="1"/>
    <col min="5131" max="5131" width="8.140625" style="129" customWidth="1"/>
    <col min="5132" max="5132" width="10" style="129" customWidth="1"/>
    <col min="5133" max="5133" width="10.7109375" style="129" bestFit="1" customWidth="1"/>
    <col min="5134" max="5134" width="10.28515625" style="129" bestFit="1" customWidth="1"/>
    <col min="5135" max="5135" width="10.42578125" style="129" customWidth="1"/>
    <col min="5136" max="5380" width="9.140625" style="129"/>
    <col min="5381" max="5381" width="34.28515625" style="129" customWidth="1"/>
    <col min="5382" max="5382" width="17.28515625" style="129" customWidth="1"/>
    <col min="5383" max="5383" width="11.28515625" style="129" customWidth="1"/>
    <col min="5384" max="5384" width="10.140625" style="129" customWidth="1"/>
    <col min="5385" max="5385" width="9.42578125" style="129" customWidth="1"/>
    <col min="5386" max="5386" width="10.85546875" style="129" customWidth="1"/>
    <col min="5387" max="5387" width="8.140625" style="129" customWidth="1"/>
    <col min="5388" max="5388" width="10" style="129" customWidth="1"/>
    <col min="5389" max="5389" width="10.7109375" style="129" bestFit="1" customWidth="1"/>
    <col min="5390" max="5390" width="10.28515625" style="129" bestFit="1" customWidth="1"/>
    <col min="5391" max="5391" width="10.42578125" style="129" customWidth="1"/>
    <col min="5392" max="5636" width="9.140625" style="129"/>
    <col min="5637" max="5637" width="34.28515625" style="129" customWidth="1"/>
    <col min="5638" max="5638" width="17.28515625" style="129" customWidth="1"/>
    <col min="5639" max="5639" width="11.28515625" style="129" customWidth="1"/>
    <col min="5640" max="5640" width="10.140625" style="129" customWidth="1"/>
    <col min="5641" max="5641" width="9.42578125" style="129" customWidth="1"/>
    <col min="5642" max="5642" width="10.85546875" style="129" customWidth="1"/>
    <col min="5643" max="5643" width="8.140625" style="129" customWidth="1"/>
    <col min="5644" max="5644" width="10" style="129" customWidth="1"/>
    <col min="5645" max="5645" width="10.7109375" style="129" bestFit="1" customWidth="1"/>
    <col min="5646" max="5646" width="10.28515625" style="129" bestFit="1" customWidth="1"/>
    <col min="5647" max="5647" width="10.42578125" style="129" customWidth="1"/>
    <col min="5648" max="5892" width="9.140625" style="129"/>
    <col min="5893" max="5893" width="34.28515625" style="129" customWidth="1"/>
    <col min="5894" max="5894" width="17.28515625" style="129" customWidth="1"/>
    <col min="5895" max="5895" width="11.28515625" style="129" customWidth="1"/>
    <col min="5896" max="5896" width="10.140625" style="129" customWidth="1"/>
    <col min="5897" max="5897" width="9.42578125" style="129" customWidth="1"/>
    <col min="5898" max="5898" width="10.85546875" style="129" customWidth="1"/>
    <col min="5899" max="5899" width="8.140625" style="129" customWidth="1"/>
    <col min="5900" max="5900" width="10" style="129" customWidth="1"/>
    <col min="5901" max="5901" width="10.7109375" style="129" bestFit="1" customWidth="1"/>
    <col min="5902" max="5902" width="10.28515625" style="129" bestFit="1" customWidth="1"/>
    <col min="5903" max="5903" width="10.42578125" style="129" customWidth="1"/>
    <col min="5904" max="6148" width="9.140625" style="129"/>
    <col min="6149" max="6149" width="34.28515625" style="129" customWidth="1"/>
    <col min="6150" max="6150" width="17.28515625" style="129" customWidth="1"/>
    <col min="6151" max="6151" width="11.28515625" style="129" customWidth="1"/>
    <col min="6152" max="6152" width="10.140625" style="129" customWidth="1"/>
    <col min="6153" max="6153" width="9.42578125" style="129" customWidth="1"/>
    <col min="6154" max="6154" width="10.85546875" style="129" customWidth="1"/>
    <col min="6155" max="6155" width="8.140625" style="129" customWidth="1"/>
    <col min="6156" max="6156" width="10" style="129" customWidth="1"/>
    <col min="6157" max="6157" width="10.7109375" style="129" bestFit="1" customWidth="1"/>
    <col min="6158" max="6158" width="10.28515625" style="129" bestFit="1" customWidth="1"/>
    <col min="6159" max="6159" width="10.42578125" style="129" customWidth="1"/>
    <col min="6160" max="6404" width="9.140625" style="129"/>
    <col min="6405" max="6405" width="34.28515625" style="129" customWidth="1"/>
    <col min="6406" max="6406" width="17.28515625" style="129" customWidth="1"/>
    <col min="6407" max="6407" width="11.28515625" style="129" customWidth="1"/>
    <col min="6408" max="6408" width="10.140625" style="129" customWidth="1"/>
    <col min="6409" max="6409" width="9.42578125" style="129" customWidth="1"/>
    <col min="6410" max="6410" width="10.85546875" style="129" customWidth="1"/>
    <col min="6411" max="6411" width="8.140625" style="129" customWidth="1"/>
    <col min="6412" max="6412" width="10" style="129" customWidth="1"/>
    <col min="6413" max="6413" width="10.7109375" style="129" bestFit="1" customWidth="1"/>
    <col min="6414" max="6414" width="10.28515625" style="129" bestFit="1" customWidth="1"/>
    <col min="6415" max="6415" width="10.42578125" style="129" customWidth="1"/>
    <col min="6416" max="6660" width="9.140625" style="129"/>
    <col min="6661" max="6661" width="34.28515625" style="129" customWidth="1"/>
    <col min="6662" max="6662" width="17.28515625" style="129" customWidth="1"/>
    <col min="6663" max="6663" width="11.28515625" style="129" customWidth="1"/>
    <col min="6664" max="6664" width="10.140625" style="129" customWidth="1"/>
    <col min="6665" max="6665" width="9.42578125" style="129" customWidth="1"/>
    <col min="6666" max="6666" width="10.85546875" style="129" customWidth="1"/>
    <col min="6667" max="6667" width="8.140625" style="129" customWidth="1"/>
    <col min="6668" max="6668" width="10" style="129" customWidth="1"/>
    <col min="6669" max="6669" width="10.7109375" style="129" bestFit="1" customWidth="1"/>
    <col min="6670" max="6670" width="10.28515625" style="129" bestFit="1" customWidth="1"/>
    <col min="6671" max="6671" width="10.42578125" style="129" customWidth="1"/>
    <col min="6672" max="6916" width="9.140625" style="129"/>
    <col min="6917" max="6917" width="34.28515625" style="129" customWidth="1"/>
    <col min="6918" max="6918" width="17.28515625" style="129" customWidth="1"/>
    <col min="6919" max="6919" width="11.28515625" style="129" customWidth="1"/>
    <col min="6920" max="6920" width="10.140625" style="129" customWidth="1"/>
    <col min="6921" max="6921" width="9.42578125" style="129" customWidth="1"/>
    <col min="6922" max="6922" width="10.85546875" style="129" customWidth="1"/>
    <col min="6923" max="6923" width="8.140625" style="129" customWidth="1"/>
    <col min="6924" max="6924" width="10" style="129" customWidth="1"/>
    <col min="6925" max="6925" width="10.7109375" style="129" bestFit="1" customWidth="1"/>
    <col min="6926" max="6926" width="10.28515625" style="129" bestFit="1" customWidth="1"/>
    <col min="6927" max="6927" width="10.42578125" style="129" customWidth="1"/>
    <col min="6928" max="7172" width="9.140625" style="129"/>
    <col min="7173" max="7173" width="34.28515625" style="129" customWidth="1"/>
    <col min="7174" max="7174" width="17.28515625" style="129" customWidth="1"/>
    <col min="7175" max="7175" width="11.28515625" style="129" customWidth="1"/>
    <col min="7176" max="7176" width="10.140625" style="129" customWidth="1"/>
    <col min="7177" max="7177" width="9.42578125" style="129" customWidth="1"/>
    <col min="7178" max="7178" width="10.85546875" style="129" customWidth="1"/>
    <col min="7179" max="7179" width="8.140625" style="129" customWidth="1"/>
    <col min="7180" max="7180" width="10" style="129" customWidth="1"/>
    <col min="7181" max="7181" width="10.7109375" style="129" bestFit="1" customWidth="1"/>
    <col min="7182" max="7182" width="10.28515625" style="129" bestFit="1" customWidth="1"/>
    <col min="7183" max="7183" width="10.42578125" style="129" customWidth="1"/>
    <col min="7184" max="7428" width="9.140625" style="129"/>
    <col min="7429" max="7429" width="34.28515625" style="129" customWidth="1"/>
    <col min="7430" max="7430" width="17.28515625" style="129" customWidth="1"/>
    <col min="7431" max="7431" width="11.28515625" style="129" customWidth="1"/>
    <col min="7432" max="7432" width="10.140625" style="129" customWidth="1"/>
    <col min="7433" max="7433" width="9.42578125" style="129" customWidth="1"/>
    <col min="7434" max="7434" width="10.85546875" style="129" customWidth="1"/>
    <col min="7435" max="7435" width="8.140625" style="129" customWidth="1"/>
    <col min="7436" max="7436" width="10" style="129" customWidth="1"/>
    <col min="7437" max="7437" width="10.7109375" style="129" bestFit="1" customWidth="1"/>
    <col min="7438" max="7438" width="10.28515625" style="129" bestFit="1" customWidth="1"/>
    <col min="7439" max="7439" width="10.42578125" style="129" customWidth="1"/>
    <col min="7440" max="7684" width="9.140625" style="129"/>
    <col min="7685" max="7685" width="34.28515625" style="129" customWidth="1"/>
    <col min="7686" max="7686" width="17.28515625" style="129" customWidth="1"/>
    <col min="7687" max="7687" width="11.28515625" style="129" customWidth="1"/>
    <col min="7688" max="7688" width="10.140625" style="129" customWidth="1"/>
    <col min="7689" max="7689" width="9.42578125" style="129" customWidth="1"/>
    <col min="7690" max="7690" width="10.85546875" style="129" customWidth="1"/>
    <col min="7691" max="7691" width="8.140625" style="129" customWidth="1"/>
    <col min="7692" max="7692" width="10" style="129" customWidth="1"/>
    <col min="7693" max="7693" width="10.7109375" style="129" bestFit="1" customWidth="1"/>
    <col min="7694" max="7694" width="10.28515625" style="129" bestFit="1" customWidth="1"/>
    <col min="7695" max="7695" width="10.42578125" style="129" customWidth="1"/>
    <col min="7696" max="7940" width="9.140625" style="129"/>
    <col min="7941" max="7941" width="34.28515625" style="129" customWidth="1"/>
    <col min="7942" max="7942" width="17.28515625" style="129" customWidth="1"/>
    <col min="7943" max="7943" width="11.28515625" style="129" customWidth="1"/>
    <col min="7944" max="7944" width="10.140625" style="129" customWidth="1"/>
    <col min="7945" max="7945" width="9.42578125" style="129" customWidth="1"/>
    <col min="7946" max="7946" width="10.85546875" style="129" customWidth="1"/>
    <col min="7947" max="7947" width="8.140625" style="129" customWidth="1"/>
    <col min="7948" max="7948" width="10" style="129" customWidth="1"/>
    <col min="7949" max="7949" width="10.7109375" style="129" bestFit="1" customWidth="1"/>
    <col min="7950" max="7950" width="10.28515625" style="129" bestFit="1" customWidth="1"/>
    <col min="7951" max="7951" width="10.42578125" style="129" customWidth="1"/>
    <col min="7952" max="8196" width="9.140625" style="129"/>
    <col min="8197" max="8197" width="34.28515625" style="129" customWidth="1"/>
    <col min="8198" max="8198" width="17.28515625" style="129" customWidth="1"/>
    <col min="8199" max="8199" width="11.28515625" style="129" customWidth="1"/>
    <col min="8200" max="8200" width="10.140625" style="129" customWidth="1"/>
    <col min="8201" max="8201" width="9.42578125" style="129" customWidth="1"/>
    <col min="8202" max="8202" width="10.85546875" style="129" customWidth="1"/>
    <col min="8203" max="8203" width="8.140625" style="129" customWidth="1"/>
    <col min="8204" max="8204" width="10" style="129" customWidth="1"/>
    <col min="8205" max="8205" width="10.7109375" style="129" bestFit="1" customWidth="1"/>
    <col min="8206" max="8206" width="10.28515625" style="129" bestFit="1" customWidth="1"/>
    <col min="8207" max="8207" width="10.42578125" style="129" customWidth="1"/>
    <col min="8208" max="8452" width="9.140625" style="129"/>
    <col min="8453" max="8453" width="34.28515625" style="129" customWidth="1"/>
    <col min="8454" max="8454" width="17.28515625" style="129" customWidth="1"/>
    <col min="8455" max="8455" width="11.28515625" style="129" customWidth="1"/>
    <col min="8456" max="8456" width="10.140625" style="129" customWidth="1"/>
    <col min="8457" max="8457" width="9.42578125" style="129" customWidth="1"/>
    <col min="8458" max="8458" width="10.85546875" style="129" customWidth="1"/>
    <col min="8459" max="8459" width="8.140625" style="129" customWidth="1"/>
    <col min="8460" max="8460" width="10" style="129" customWidth="1"/>
    <col min="8461" max="8461" width="10.7109375" style="129" bestFit="1" customWidth="1"/>
    <col min="8462" max="8462" width="10.28515625" style="129" bestFit="1" customWidth="1"/>
    <col min="8463" max="8463" width="10.42578125" style="129" customWidth="1"/>
    <col min="8464" max="8708" width="9.140625" style="129"/>
    <col min="8709" max="8709" width="34.28515625" style="129" customWidth="1"/>
    <col min="8710" max="8710" width="17.28515625" style="129" customWidth="1"/>
    <col min="8711" max="8711" width="11.28515625" style="129" customWidth="1"/>
    <col min="8712" max="8712" width="10.140625" style="129" customWidth="1"/>
    <col min="8713" max="8713" width="9.42578125" style="129" customWidth="1"/>
    <col min="8714" max="8714" width="10.85546875" style="129" customWidth="1"/>
    <col min="8715" max="8715" width="8.140625" style="129" customWidth="1"/>
    <col min="8716" max="8716" width="10" style="129" customWidth="1"/>
    <col min="8717" max="8717" width="10.7109375" style="129" bestFit="1" customWidth="1"/>
    <col min="8718" max="8718" width="10.28515625" style="129" bestFit="1" customWidth="1"/>
    <col min="8719" max="8719" width="10.42578125" style="129" customWidth="1"/>
    <col min="8720" max="8964" width="9.140625" style="129"/>
    <col min="8965" max="8965" width="34.28515625" style="129" customWidth="1"/>
    <col min="8966" max="8966" width="17.28515625" style="129" customWidth="1"/>
    <col min="8967" max="8967" width="11.28515625" style="129" customWidth="1"/>
    <col min="8968" max="8968" width="10.140625" style="129" customWidth="1"/>
    <col min="8969" max="8969" width="9.42578125" style="129" customWidth="1"/>
    <col min="8970" max="8970" width="10.85546875" style="129" customWidth="1"/>
    <col min="8971" max="8971" width="8.140625" style="129" customWidth="1"/>
    <col min="8972" max="8972" width="10" style="129" customWidth="1"/>
    <col min="8973" max="8973" width="10.7109375" style="129" bestFit="1" customWidth="1"/>
    <col min="8974" max="8974" width="10.28515625" style="129" bestFit="1" customWidth="1"/>
    <col min="8975" max="8975" width="10.42578125" style="129" customWidth="1"/>
    <col min="8976" max="9220" width="9.140625" style="129"/>
    <col min="9221" max="9221" width="34.28515625" style="129" customWidth="1"/>
    <col min="9222" max="9222" width="17.28515625" style="129" customWidth="1"/>
    <col min="9223" max="9223" width="11.28515625" style="129" customWidth="1"/>
    <col min="9224" max="9224" width="10.140625" style="129" customWidth="1"/>
    <col min="9225" max="9225" width="9.42578125" style="129" customWidth="1"/>
    <col min="9226" max="9226" width="10.85546875" style="129" customWidth="1"/>
    <col min="9227" max="9227" width="8.140625" style="129" customWidth="1"/>
    <col min="9228" max="9228" width="10" style="129" customWidth="1"/>
    <col min="9229" max="9229" width="10.7109375" style="129" bestFit="1" customWidth="1"/>
    <col min="9230" max="9230" width="10.28515625" style="129" bestFit="1" customWidth="1"/>
    <col min="9231" max="9231" width="10.42578125" style="129" customWidth="1"/>
    <col min="9232" max="9476" width="9.140625" style="129"/>
    <col min="9477" max="9477" width="34.28515625" style="129" customWidth="1"/>
    <col min="9478" max="9478" width="17.28515625" style="129" customWidth="1"/>
    <col min="9479" max="9479" width="11.28515625" style="129" customWidth="1"/>
    <col min="9480" max="9480" width="10.140625" style="129" customWidth="1"/>
    <col min="9481" max="9481" width="9.42578125" style="129" customWidth="1"/>
    <col min="9482" max="9482" width="10.85546875" style="129" customWidth="1"/>
    <col min="9483" max="9483" width="8.140625" style="129" customWidth="1"/>
    <col min="9484" max="9484" width="10" style="129" customWidth="1"/>
    <col min="9485" max="9485" width="10.7109375" style="129" bestFit="1" customWidth="1"/>
    <col min="9486" max="9486" width="10.28515625" style="129" bestFit="1" customWidth="1"/>
    <col min="9487" max="9487" width="10.42578125" style="129" customWidth="1"/>
    <col min="9488" max="9732" width="9.140625" style="129"/>
    <col min="9733" max="9733" width="34.28515625" style="129" customWidth="1"/>
    <col min="9734" max="9734" width="17.28515625" style="129" customWidth="1"/>
    <col min="9735" max="9735" width="11.28515625" style="129" customWidth="1"/>
    <col min="9736" max="9736" width="10.140625" style="129" customWidth="1"/>
    <col min="9737" max="9737" width="9.42578125" style="129" customWidth="1"/>
    <col min="9738" max="9738" width="10.85546875" style="129" customWidth="1"/>
    <col min="9739" max="9739" width="8.140625" style="129" customWidth="1"/>
    <col min="9740" max="9740" width="10" style="129" customWidth="1"/>
    <col min="9741" max="9741" width="10.7109375" style="129" bestFit="1" customWidth="1"/>
    <col min="9742" max="9742" width="10.28515625" style="129" bestFit="1" customWidth="1"/>
    <col min="9743" max="9743" width="10.42578125" style="129" customWidth="1"/>
    <col min="9744" max="9988" width="9.140625" style="129"/>
    <col min="9989" max="9989" width="34.28515625" style="129" customWidth="1"/>
    <col min="9990" max="9990" width="17.28515625" style="129" customWidth="1"/>
    <col min="9991" max="9991" width="11.28515625" style="129" customWidth="1"/>
    <col min="9992" max="9992" width="10.140625" style="129" customWidth="1"/>
    <col min="9993" max="9993" width="9.42578125" style="129" customWidth="1"/>
    <col min="9994" max="9994" width="10.85546875" style="129" customWidth="1"/>
    <col min="9995" max="9995" width="8.140625" style="129" customWidth="1"/>
    <col min="9996" max="9996" width="10" style="129" customWidth="1"/>
    <col min="9997" max="9997" width="10.7109375" style="129" bestFit="1" customWidth="1"/>
    <col min="9998" max="9998" width="10.28515625" style="129" bestFit="1" customWidth="1"/>
    <col min="9999" max="9999" width="10.42578125" style="129" customWidth="1"/>
    <col min="10000" max="10244" width="9.140625" style="129"/>
    <col min="10245" max="10245" width="34.28515625" style="129" customWidth="1"/>
    <col min="10246" max="10246" width="17.28515625" style="129" customWidth="1"/>
    <col min="10247" max="10247" width="11.28515625" style="129" customWidth="1"/>
    <col min="10248" max="10248" width="10.140625" style="129" customWidth="1"/>
    <col min="10249" max="10249" width="9.42578125" style="129" customWidth="1"/>
    <col min="10250" max="10250" width="10.85546875" style="129" customWidth="1"/>
    <col min="10251" max="10251" width="8.140625" style="129" customWidth="1"/>
    <col min="10252" max="10252" width="10" style="129" customWidth="1"/>
    <col min="10253" max="10253" width="10.7109375" style="129" bestFit="1" customWidth="1"/>
    <col min="10254" max="10254" width="10.28515625" style="129" bestFit="1" customWidth="1"/>
    <col min="10255" max="10255" width="10.42578125" style="129" customWidth="1"/>
    <col min="10256" max="10500" width="9.140625" style="129"/>
    <col min="10501" max="10501" width="34.28515625" style="129" customWidth="1"/>
    <col min="10502" max="10502" width="17.28515625" style="129" customWidth="1"/>
    <col min="10503" max="10503" width="11.28515625" style="129" customWidth="1"/>
    <col min="10504" max="10504" width="10.140625" style="129" customWidth="1"/>
    <col min="10505" max="10505" width="9.42578125" style="129" customWidth="1"/>
    <col min="10506" max="10506" width="10.85546875" style="129" customWidth="1"/>
    <col min="10507" max="10507" width="8.140625" style="129" customWidth="1"/>
    <col min="10508" max="10508" width="10" style="129" customWidth="1"/>
    <col min="10509" max="10509" width="10.7109375" style="129" bestFit="1" customWidth="1"/>
    <col min="10510" max="10510" width="10.28515625" style="129" bestFit="1" customWidth="1"/>
    <col min="10511" max="10511" width="10.42578125" style="129" customWidth="1"/>
    <col min="10512" max="10756" width="9.140625" style="129"/>
    <col min="10757" max="10757" width="34.28515625" style="129" customWidth="1"/>
    <col min="10758" max="10758" width="17.28515625" style="129" customWidth="1"/>
    <col min="10759" max="10759" width="11.28515625" style="129" customWidth="1"/>
    <col min="10760" max="10760" width="10.140625" style="129" customWidth="1"/>
    <col min="10761" max="10761" width="9.42578125" style="129" customWidth="1"/>
    <col min="10762" max="10762" width="10.85546875" style="129" customWidth="1"/>
    <col min="10763" max="10763" width="8.140625" style="129" customWidth="1"/>
    <col min="10764" max="10764" width="10" style="129" customWidth="1"/>
    <col min="10765" max="10765" width="10.7109375" style="129" bestFit="1" customWidth="1"/>
    <col min="10766" max="10766" width="10.28515625" style="129" bestFit="1" customWidth="1"/>
    <col min="10767" max="10767" width="10.42578125" style="129" customWidth="1"/>
    <col min="10768" max="11012" width="9.140625" style="129"/>
    <col min="11013" max="11013" width="34.28515625" style="129" customWidth="1"/>
    <col min="11014" max="11014" width="17.28515625" style="129" customWidth="1"/>
    <col min="11015" max="11015" width="11.28515625" style="129" customWidth="1"/>
    <col min="11016" max="11016" width="10.140625" style="129" customWidth="1"/>
    <col min="11017" max="11017" width="9.42578125" style="129" customWidth="1"/>
    <col min="11018" max="11018" width="10.85546875" style="129" customWidth="1"/>
    <col min="11019" max="11019" width="8.140625" style="129" customWidth="1"/>
    <col min="11020" max="11020" width="10" style="129" customWidth="1"/>
    <col min="11021" max="11021" width="10.7109375" style="129" bestFit="1" customWidth="1"/>
    <col min="11022" max="11022" width="10.28515625" style="129" bestFit="1" customWidth="1"/>
    <col min="11023" max="11023" width="10.42578125" style="129" customWidth="1"/>
    <col min="11024" max="11268" width="9.140625" style="129"/>
    <col min="11269" max="11269" width="34.28515625" style="129" customWidth="1"/>
    <col min="11270" max="11270" width="17.28515625" style="129" customWidth="1"/>
    <col min="11271" max="11271" width="11.28515625" style="129" customWidth="1"/>
    <col min="11272" max="11272" width="10.140625" style="129" customWidth="1"/>
    <col min="11273" max="11273" width="9.42578125" style="129" customWidth="1"/>
    <col min="11274" max="11274" width="10.85546875" style="129" customWidth="1"/>
    <col min="11275" max="11275" width="8.140625" style="129" customWidth="1"/>
    <col min="11276" max="11276" width="10" style="129" customWidth="1"/>
    <col min="11277" max="11277" width="10.7109375" style="129" bestFit="1" customWidth="1"/>
    <col min="11278" max="11278" width="10.28515625" style="129" bestFit="1" customWidth="1"/>
    <col min="11279" max="11279" width="10.42578125" style="129" customWidth="1"/>
    <col min="11280" max="11524" width="9.140625" style="129"/>
    <col min="11525" max="11525" width="34.28515625" style="129" customWidth="1"/>
    <col min="11526" max="11526" width="17.28515625" style="129" customWidth="1"/>
    <col min="11527" max="11527" width="11.28515625" style="129" customWidth="1"/>
    <col min="11528" max="11528" width="10.140625" style="129" customWidth="1"/>
    <col min="11529" max="11529" width="9.42578125" style="129" customWidth="1"/>
    <col min="11530" max="11530" width="10.85546875" style="129" customWidth="1"/>
    <col min="11531" max="11531" width="8.140625" style="129" customWidth="1"/>
    <col min="11532" max="11532" width="10" style="129" customWidth="1"/>
    <col min="11533" max="11533" width="10.7109375" style="129" bestFit="1" customWidth="1"/>
    <col min="11534" max="11534" width="10.28515625" style="129" bestFit="1" customWidth="1"/>
    <col min="11535" max="11535" width="10.42578125" style="129" customWidth="1"/>
    <col min="11536" max="11780" width="9.140625" style="129"/>
    <col min="11781" max="11781" width="34.28515625" style="129" customWidth="1"/>
    <col min="11782" max="11782" width="17.28515625" style="129" customWidth="1"/>
    <col min="11783" max="11783" width="11.28515625" style="129" customWidth="1"/>
    <col min="11784" max="11784" width="10.140625" style="129" customWidth="1"/>
    <col min="11785" max="11785" width="9.42578125" style="129" customWidth="1"/>
    <col min="11786" max="11786" width="10.85546875" style="129" customWidth="1"/>
    <col min="11787" max="11787" width="8.140625" style="129" customWidth="1"/>
    <col min="11788" max="11788" width="10" style="129" customWidth="1"/>
    <col min="11789" max="11789" width="10.7109375" style="129" bestFit="1" customWidth="1"/>
    <col min="11790" max="11790" width="10.28515625" style="129" bestFit="1" customWidth="1"/>
    <col min="11791" max="11791" width="10.42578125" style="129" customWidth="1"/>
    <col min="11792" max="12036" width="9.140625" style="129"/>
    <col min="12037" max="12037" width="34.28515625" style="129" customWidth="1"/>
    <col min="12038" max="12038" width="17.28515625" style="129" customWidth="1"/>
    <col min="12039" max="12039" width="11.28515625" style="129" customWidth="1"/>
    <col min="12040" max="12040" width="10.140625" style="129" customWidth="1"/>
    <col min="12041" max="12041" width="9.42578125" style="129" customWidth="1"/>
    <col min="12042" max="12042" width="10.85546875" style="129" customWidth="1"/>
    <col min="12043" max="12043" width="8.140625" style="129" customWidth="1"/>
    <col min="12044" max="12044" width="10" style="129" customWidth="1"/>
    <col min="12045" max="12045" width="10.7109375" style="129" bestFit="1" customWidth="1"/>
    <col min="12046" max="12046" width="10.28515625" style="129" bestFit="1" customWidth="1"/>
    <col min="12047" max="12047" width="10.42578125" style="129" customWidth="1"/>
    <col min="12048" max="12292" width="9.140625" style="129"/>
    <col min="12293" max="12293" width="34.28515625" style="129" customWidth="1"/>
    <col min="12294" max="12294" width="17.28515625" style="129" customWidth="1"/>
    <col min="12295" max="12295" width="11.28515625" style="129" customWidth="1"/>
    <col min="12296" max="12296" width="10.140625" style="129" customWidth="1"/>
    <col min="12297" max="12297" width="9.42578125" style="129" customWidth="1"/>
    <col min="12298" max="12298" width="10.85546875" style="129" customWidth="1"/>
    <col min="12299" max="12299" width="8.140625" style="129" customWidth="1"/>
    <col min="12300" max="12300" width="10" style="129" customWidth="1"/>
    <col min="12301" max="12301" width="10.7109375" style="129" bestFit="1" customWidth="1"/>
    <col min="12302" max="12302" width="10.28515625" style="129" bestFit="1" customWidth="1"/>
    <col min="12303" max="12303" width="10.42578125" style="129" customWidth="1"/>
    <col min="12304" max="12548" width="9.140625" style="129"/>
    <col min="12549" max="12549" width="34.28515625" style="129" customWidth="1"/>
    <col min="12550" max="12550" width="17.28515625" style="129" customWidth="1"/>
    <col min="12551" max="12551" width="11.28515625" style="129" customWidth="1"/>
    <col min="12552" max="12552" width="10.140625" style="129" customWidth="1"/>
    <col min="12553" max="12553" width="9.42578125" style="129" customWidth="1"/>
    <col min="12554" max="12554" width="10.85546875" style="129" customWidth="1"/>
    <col min="12555" max="12555" width="8.140625" style="129" customWidth="1"/>
    <col min="12556" max="12556" width="10" style="129" customWidth="1"/>
    <col min="12557" max="12557" width="10.7109375" style="129" bestFit="1" customWidth="1"/>
    <col min="12558" max="12558" width="10.28515625" style="129" bestFit="1" customWidth="1"/>
    <col min="12559" max="12559" width="10.42578125" style="129" customWidth="1"/>
    <col min="12560" max="12804" width="9.140625" style="129"/>
    <col min="12805" max="12805" width="34.28515625" style="129" customWidth="1"/>
    <col min="12806" max="12806" width="17.28515625" style="129" customWidth="1"/>
    <col min="12807" max="12807" width="11.28515625" style="129" customWidth="1"/>
    <col min="12808" max="12808" width="10.140625" style="129" customWidth="1"/>
    <col min="12809" max="12809" width="9.42578125" style="129" customWidth="1"/>
    <col min="12810" max="12810" width="10.85546875" style="129" customWidth="1"/>
    <col min="12811" max="12811" width="8.140625" style="129" customWidth="1"/>
    <col min="12812" max="12812" width="10" style="129" customWidth="1"/>
    <col min="12813" max="12813" width="10.7109375" style="129" bestFit="1" customWidth="1"/>
    <col min="12814" max="12814" width="10.28515625" style="129" bestFit="1" customWidth="1"/>
    <col min="12815" max="12815" width="10.42578125" style="129" customWidth="1"/>
    <col min="12816" max="13060" width="9.140625" style="129"/>
    <col min="13061" max="13061" width="34.28515625" style="129" customWidth="1"/>
    <col min="13062" max="13062" width="17.28515625" style="129" customWidth="1"/>
    <col min="13063" max="13063" width="11.28515625" style="129" customWidth="1"/>
    <col min="13064" max="13064" width="10.140625" style="129" customWidth="1"/>
    <col min="13065" max="13065" width="9.42578125" style="129" customWidth="1"/>
    <col min="13066" max="13066" width="10.85546875" style="129" customWidth="1"/>
    <col min="13067" max="13067" width="8.140625" style="129" customWidth="1"/>
    <col min="13068" max="13068" width="10" style="129" customWidth="1"/>
    <col min="13069" max="13069" width="10.7109375" style="129" bestFit="1" customWidth="1"/>
    <col min="13070" max="13070" width="10.28515625" style="129" bestFit="1" customWidth="1"/>
    <col min="13071" max="13071" width="10.42578125" style="129" customWidth="1"/>
    <col min="13072" max="13316" width="9.140625" style="129"/>
    <col min="13317" max="13317" width="34.28515625" style="129" customWidth="1"/>
    <col min="13318" max="13318" width="17.28515625" style="129" customWidth="1"/>
    <col min="13319" max="13319" width="11.28515625" style="129" customWidth="1"/>
    <col min="13320" max="13320" width="10.140625" style="129" customWidth="1"/>
    <col min="13321" max="13321" width="9.42578125" style="129" customWidth="1"/>
    <col min="13322" max="13322" width="10.85546875" style="129" customWidth="1"/>
    <col min="13323" max="13323" width="8.140625" style="129" customWidth="1"/>
    <col min="13324" max="13324" width="10" style="129" customWidth="1"/>
    <col min="13325" max="13325" width="10.7109375" style="129" bestFit="1" customWidth="1"/>
    <col min="13326" max="13326" width="10.28515625" style="129" bestFit="1" customWidth="1"/>
    <col min="13327" max="13327" width="10.42578125" style="129" customWidth="1"/>
    <col min="13328" max="13572" width="9.140625" style="129"/>
    <col min="13573" max="13573" width="34.28515625" style="129" customWidth="1"/>
    <col min="13574" max="13574" width="17.28515625" style="129" customWidth="1"/>
    <col min="13575" max="13575" width="11.28515625" style="129" customWidth="1"/>
    <col min="13576" max="13576" width="10.140625" style="129" customWidth="1"/>
    <col min="13577" max="13577" width="9.42578125" style="129" customWidth="1"/>
    <col min="13578" max="13578" width="10.85546875" style="129" customWidth="1"/>
    <col min="13579" max="13579" width="8.140625" style="129" customWidth="1"/>
    <col min="13580" max="13580" width="10" style="129" customWidth="1"/>
    <col min="13581" max="13581" width="10.7109375" style="129" bestFit="1" customWidth="1"/>
    <col min="13582" max="13582" width="10.28515625" style="129" bestFit="1" customWidth="1"/>
    <col min="13583" max="13583" width="10.42578125" style="129" customWidth="1"/>
    <col min="13584" max="13828" width="9.140625" style="129"/>
    <col min="13829" max="13829" width="34.28515625" style="129" customWidth="1"/>
    <col min="13830" max="13830" width="17.28515625" style="129" customWidth="1"/>
    <col min="13831" max="13831" width="11.28515625" style="129" customWidth="1"/>
    <col min="13832" max="13832" width="10.140625" style="129" customWidth="1"/>
    <col min="13833" max="13833" width="9.42578125" style="129" customWidth="1"/>
    <col min="13834" max="13834" width="10.85546875" style="129" customWidth="1"/>
    <col min="13835" max="13835" width="8.140625" style="129" customWidth="1"/>
    <col min="13836" max="13836" width="10" style="129" customWidth="1"/>
    <col min="13837" max="13837" width="10.7109375" style="129" bestFit="1" customWidth="1"/>
    <col min="13838" max="13838" width="10.28515625" style="129" bestFit="1" customWidth="1"/>
    <col min="13839" max="13839" width="10.42578125" style="129" customWidth="1"/>
    <col min="13840" max="14084" width="9.140625" style="129"/>
    <col min="14085" max="14085" width="34.28515625" style="129" customWidth="1"/>
    <col min="14086" max="14086" width="17.28515625" style="129" customWidth="1"/>
    <col min="14087" max="14087" width="11.28515625" style="129" customWidth="1"/>
    <col min="14088" max="14088" width="10.140625" style="129" customWidth="1"/>
    <col min="14089" max="14089" width="9.42578125" style="129" customWidth="1"/>
    <col min="14090" max="14090" width="10.85546875" style="129" customWidth="1"/>
    <col min="14091" max="14091" width="8.140625" style="129" customWidth="1"/>
    <col min="14092" max="14092" width="10" style="129" customWidth="1"/>
    <col min="14093" max="14093" width="10.7109375" style="129" bestFit="1" customWidth="1"/>
    <col min="14094" max="14094" width="10.28515625" style="129" bestFit="1" customWidth="1"/>
    <col min="14095" max="14095" width="10.42578125" style="129" customWidth="1"/>
    <col min="14096" max="14340" width="9.140625" style="129"/>
    <col min="14341" max="14341" width="34.28515625" style="129" customWidth="1"/>
    <col min="14342" max="14342" width="17.28515625" style="129" customWidth="1"/>
    <col min="14343" max="14343" width="11.28515625" style="129" customWidth="1"/>
    <col min="14344" max="14344" width="10.140625" style="129" customWidth="1"/>
    <col min="14345" max="14345" width="9.42578125" style="129" customWidth="1"/>
    <col min="14346" max="14346" width="10.85546875" style="129" customWidth="1"/>
    <col min="14347" max="14347" width="8.140625" style="129" customWidth="1"/>
    <col min="14348" max="14348" width="10" style="129" customWidth="1"/>
    <col min="14349" max="14349" width="10.7109375" style="129" bestFit="1" customWidth="1"/>
    <col min="14350" max="14350" width="10.28515625" style="129" bestFit="1" customWidth="1"/>
    <col min="14351" max="14351" width="10.42578125" style="129" customWidth="1"/>
    <col min="14352" max="14596" width="9.140625" style="129"/>
    <col min="14597" max="14597" width="34.28515625" style="129" customWidth="1"/>
    <col min="14598" max="14598" width="17.28515625" style="129" customWidth="1"/>
    <col min="14599" max="14599" width="11.28515625" style="129" customWidth="1"/>
    <col min="14600" max="14600" width="10.140625" style="129" customWidth="1"/>
    <col min="14601" max="14601" width="9.42578125" style="129" customWidth="1"/>
    <col min="14602" max="14602" width="10.85546875" style="129" customWidth="1"/>
    <col min="14603" max="14603" width="8.140625" style="129" customWidth="1"/>
    <col min="14604" max="14604" width="10" style="129" customWidth="1"/>
    <col min="14605" max="14605" width="10.7109375" style="129" bestFit="1" customWidth="1"/>
    <col min="14606" max="14606" width="10.28515625" style="129" bestFit="1" customWidth="1"/>
    <col min="14607" max="14607" width="10.42578125" style="129" customWidth="1"/>
    <col min="14608" max="14852" width="9.140625" style="129"/>
    <col min="14853" max="14853" width="34.28515625" style="129" customWidth="1"/>
    <col min="14854" max="14854" width="17.28515625" style="129" customWidth="1"/>
    <col min="14855" max="14855" width="11.28515625" style="129" customWidth="1"/>
    <col min="14856" max="14856" width="10.140625" style="129" customWidth="1"/>
    <col min="14857" max="14857" width="9.42578125" style="129" customWidth="1"/>
    <col min="14858" max="14858" width="10.85546875" style="129" customWidth="1"/>
    <col min="14859" max="14859" width="8.140625" style="129" customWidth="1"/>
    <col min="14860" max="14860" width="10" style="129" customWidth="1"/>
    <col min="14861" max="14861" width="10.7109375" style="129" bestFit="1" customWidth="1"/>
    <col min="14862" max="14862" width="10.28515625" style="129" bestFit="1" customWidth="1"/>
    <col min="14863" max="14863" width="10.42578125" style="129" customWidth="1"/>
    <col min="14864" max="15108" width="9.140625" style="129"/>
    <col min="15109" max="15109" width="34.28515625" style="129" customWidth="1"/>
    <col min="15110" max="15110" width="17.28515625" style="129" customWidth="1"/>
    <col min="15111" max="15111" width="11.28515625" style="129" customWidth="1"/>
    <col min="15112" max="15112" width="10.140625" style="129" customWidth="1"/>
    <col min="15113" max="15113" width="9.42578125" style="129" customWidth="1"/>
    <col min="15114" max="15114" width="10.85546875" style="129" customWidth="1"/>
    <col min="15115" max="15115" width="8.140625" style="129" customWidth="1"/>
    <col min="15116" max="15116" width="10" style="129" customWidth="1"/>
    <col min="15117" max="15117" width="10.7109375" style="129" bestFit="1" customWidth="1"/>
    <col min="15118" max="15118" width="10.28515625" style="129" bestFit="1" customWidth="1"/>
    <col min="15119" max="15119" width="10.42578125" style="129" customWidth="1"/>
    <col min="15120" max="15364" width="9.140625" style="129"/>
    <col min="15365" max="15365" width="34.28515625" style="129" customWidth="1"/>
    <col min="15366" max="15366" width="17.28515625" style="129" customWidth="1"/>
    <col min="15367" max="15367" width="11.28515625" style="129" customWidth="1"/>
    <col min="15368" max="15368" width="10.140625" style="129" customWidth="1"/>
    <col min="15369" max="15369" width="9.42578125" style="129" customWidth="1"/>
    <col min="15370" max="15370" width="10.85546875" style="129" customWidth="1"/>
    <col min="15371" max="15371" width="8.140625" style="129" customWidth="1"/>
    <col min="15372" max="15372" width="10" style="129" customWidth="1"/>
    <col min="15373" max="15373" width="10.7109375" style="129" bestFit="1" customWidth="1"/>
    <col min="15374" max="15374" width="10.28515625" style="129" bestFit="1" customWidth="1"/>
    <col min="15375" max="15375" width="10.42578125" style="129" customWidth="1"/>
    <col min="15376" max="15620" width="9.140625" style="129"/>
    <col min="15621" max="15621" width="34.28515625" style="129" customWidth="1"/>
    <col min="15622" max="15622" width="17.28515625" style="129" customWidth="1"/>
    <col min="15623" max="15623" width="11.28515625" style="129" customWidth="1"/>
    <col min="15624" max="15624" width="10.140625" style="129" customWidth="1"/>
    <col min="15625" max="15625" width="9.42578125" style="129" customWidth="1"/>
    <col min="15626" max="15626" width="10.85546875" style="129" customWidth="1"/>
    <col min="15627" max="15627" width="8.140625" style="129" customWidth="1"/>
    <col min="15628" max="15628" width="10" style="129" customWidth="1"/>
    <col min="15629" max="15629" width="10.7109375" style="129" bestFit="1" customWidth="1"/>
    <col min="15630" max="15630" width="10.28515625" style="129" bestFit="1" customWidth="1"/>
    <col min="15631" max="15631" width="10.42578125" style="129" customWidth="1"/>
    <col min="15632" max="15876" width="9.140625" style="129"/>
    <col min="15877" max="15877" width="34.28515625" style="129" customWidth="1"/>
    <col min="15878" max="15878" width="17.28515625" style="129" customWidth="1"/>
    <col min="15879" max="15879" width="11.28515625" style="129" customWidth="1"/>
    <col min="15880" max="15880" width="10.140625" style="129" customWidth="1"/>
    <col min="15881" max="15881" width="9.42578125" style="129" customWidth="1"/>
    <col min="15882" max="15882" width="10.85546875" style="129" customWidth="1"/>
    <col min="15883" max="15883" width="8.140625" style="129" customWidth="1"/>
    <col min="15884" max="15884" width="10" style="129" customWidth="1"/>
    <col min="15885" max="15885" width="10.7109375" style="129" bestFit="1" customWidth="1"/>
    <col min="15886" max="15886" width="10.28515625" style="129" bestFit="1" customWidth="1"/>
    <col min="15887" max="15887" width="10.42578125" style="129" customWidth="1"/>
    <col min="15888" max="16132" width="9.140625" style="129"/>
    <col min="16133" max="16133" width="34.28515625" style="129" customWidth="1"/>
    <col min="16134" max="16134" width="17.28515625" style="129" customWidth="1"/>
    <col min="16135" max="16135" width="11.28515625" style="129" customWidth="1"/>
    <col min="16136" max="16136" width="10.140625" style="129" customWidth="1"/>
    <col min="16137" max="16137" width="9.42578125" style="129" customWidth="1"/>
    <col min="16138" max="16138" width="10.85546875" style="129" customWidth="1"/>
    <col min="16139" max="16139" width="8.140625" style="129" customWidth="1"/>
    <col min="16140" max="16140" width="10" style="129" customWidth="1"/>
    <col min="16141" max="16141" width="10.7109375" style="129" bestFit="1" customWidth="1"/>
    <col min="16142" max="16142" width="10.28515625" style="129" bestFit="1" customWidth="1"/>
    <col min="16143" max="16143" width="10.42578125" style="129" customWidth="1"/>
    <col min="16144" max="16384" width="9.140625" style="129"/>
  </cols>
  <sheetData>
    <row r="2" spans="1:16" ht="18.75" x14ac:dyDescent="0.3">
      <c r="G2" s="281" t="s">
        <v>355</v>
      </c>
    </row>
    <row r="4" spans="1:16" x14ac:dyDescent="0.25">
      <c r="A4" s="235"/>
      <c r="B4" s="1663" t="s">
        <v>330</v>
      </c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  <c r="N4" s="1664"/>
      <c r="O4" s="1664"/>
      <c r="P4" s="236"/>
    </row>
    <row r="5" spans="1:16" x14ac:dyDescent="0.25">
      <c r="A5" s="1671" t="s">
        <v>523</v>
      </c>
      <c r="B5" s="1671"/>
      <c r="C5" s="1671"/>
      <c r="D5" s="1671"/>
      <c r="E5" s="1671"/>
      <c r="F5" s="1671"/>
      <c r="G5" s="1671"/>
      <c r="H5" s="1671"/>
      <c r="I5" s="1671"/>
      <c r="J5" s="1671"/>
      <c r="K5" s="1620"/>
      <c r="L5" s="1620"/>
      <c r="M5" s="1620"/>
      <c r="N5" s="1620"/>
      <c r="O5" s="237"/>
      <c r="P5" s="236"/>
    </row>
    <row r="6" spans="1:16" x14ac:dyDescent="0.25">
      <c r="A6" s="377"/>
      <c r="B6" s="1665" t="s">
        <v>425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376"/>
      <c r="O6" s="376"/>
      <c r="P6" s="236"/>
    </row>
    <row r="7" spans="1:16" x14ac:dyDescent="0.25">
      <c r="A7" s="581" t="s">
        <v>527</v>
      </c>
      <c r="B7" s="586"/>
      <c r="C7" s="587"/>
      <c r="D7" s="587"/>
      <c r="E7" s="379"/>
      <c r="F7" s="379"/>
      <c r="G7" s="379"/>
      <c r="H7" s="379"/>
      <c r="I7" s="379"/>
      <c r="J7" s="379"/>
      <c r="K7" s="379"/>
      <c r="L7" s="379"/>
      <c r="M7" s="379"/>
      <c r="N7" s="376"/>
      <c r="O7" s="376"/>
      <c r="P7" s="236"/>
    </row>
    <row r="8" spans="1:16" ht="15.75" thickBot="1" x14ac:dyDescent="0.3">
      <c r="A8" s="377"/>
      <c r="B8" s="378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6"/>
      <c r="O8" s="376"/>
      <c r="P8" s="236"/>
    </row>
    <row r="9" spans="1:16" ht="27" thickBot="1" x14ac:dyDescent="0.3">
      <c r="A9" s="261"/>
      <c r="B9" s="238" t="s">
        <v>0</v>
      </c>
      <c r="C9" s="239" t="s">
        <v>15</v>
      </c>
      <c r="D9" s="1669" t="s">
        <v>325</v>
      </c>
      <c r="E9" s="1669"/>
      <c r="F9" s="1669"/>
      <c r="G9" s="1669"/>
      <c r="H9" s="1669" t="s">
        <v>309</v>
      </c>
      <c r="I9" s="1669"/>
      <c r="J9" s="1669"/>
      <c r="K9" s="1669"/>
      <c r="L9" s="1669" t="s">
        <v>326</v>
      </c>
      <c r="M9" s="1669"/>
      <c r="N9" s="1669"/>
      <c r="O9" s="1670"/>
      <c r="P9" s="240"/>
    </row>
    <row r="10" spans="1:16" x14ac:dyDescent="0.25">
      <c r="A10" s="241"/>
      <c r="B10" s="265"/>
      <c r="C10" s="241"/>
      <c r="D10" s="242" t="s">
        <v>145</v>
      </c>
      <c r="E10" s="242" t="s">
        <v>4</v>
      </c>
      <c r="F10" s="242" t="s">
        <v>3</v>
      </c>
      <c r="G10" s="242" t="s">
        <v>5</v>
      </c>
      <c r="H10" s="242" t="s">
        <v>145</v>
      </c>
      <c r="I10" s="242" t="s">
        <v>4</v>
      </c>
      <c r="J10" s="242" t="s">
        <v>3</v>
      </c>
      <c r="K10" s="242" t="s">
        <v>5</v>
      </c>
      <c r="L10" s="242" t="s">
        <v>145</v>
      </c>
      <c r="M10" s="242" t="s">
        <v>4</v>
      </c>
      <c r="N10" s="242" t="s">
        <v>3</v>
      </c>
      <c r="O10" s="243" t="s">
        <v>5</v>
      </c>
      <c r="P10" s="244"/>
    </row>
    <row r="11" spans="1:16" ht="60.75" x14ac:dyDescent="0.25">
      <c r="A11" s="81" t="s">
        <v>185</v>
      </c>
      <c r="B11" s="383" t="s">
        <v>249</v>
      </c>
      <c r="C11" s="421"/>
      <c r="D11" s="422">
        <f t="shared" ref="D11:D26" si="0">E11+F11+G11</f>
        <v>1063194.2</v>
      </c>
      <c r="E11" s="422"/>
      <c r="F11" s="422">
        <v>635561.1</v>
      </c>
      <c r="G11" s="422">
        <v>427633.1</v>
      </c>
      <c r="H11" s="423">
        <f t="shared" ref="H11:H17" si="1">I11+J11+K11</f>
        <v>18339.707539999999</v>
      </c>
      <c r="I11" s="422"/>
      <c r="J11" s="423">
        <f>J12+J13+J14+J15+J16+J17</f>
        <v>44.479630000000085</v>
      </c>
      <c r="K11" s="423">
        <f>K12+K13+K14</f>
        <v>18295.227909999998</v>
      </c>
      <c r="L11" s="387">
        <f t="shared" ref="L11:L22" si="2">M11+N11+O11</f>
        <v>1081533.90754</v>
      </c>
      <c r="M11" s="387">
        <f>I11+E11</f>
        <v>0</v>
      </c>
      <c r="N11" s="387">
        <f>J11+F11</f>
        <v>635605.57962999993</v>
      </c>
      <c r="O11" s="387">
        <f>K11+G11</f>
        <v>445928.32790999999</v>
      </c>
      <c r="P11" s="407"/>
    </row>
    <row r="12" spans="1:16" ht="99" customHeight="1" x14ac:dyDescent="0.25">
      <c r="A12" s="88" t="s">
        <v>6</v>
      </c>
      <c r="B12" s="89" t="s">
        <v>323</v>
      </c>
      <c r="C12" s="89" t="s">
        <v>321</v>
      </c>
      <c r="D12" s="400">
        <f t="shared" si="0"/>
        <v>461297.6</v>
      </c>
      <c r="E12" s="401"/>
      <c r="F12" s="401">
        <v>342758.7</v>
      </c>
      <c r="G12" s="401">
        <v>118538.9</v>
      </c>
      <c r="H12" s="400">
        <f t="shared" si="1"/>
        <v>14634.321</v>
      </c>
      <c r="I12" s="401"/>
      <c r="J12" s="400">
        <v>3649.1</v>
      </c>
      <c r="K12" s="479">
        <v>10985.221</v>
      </c>
      <c r="L12" s="373">
        <f t="shared" si="2"/>
        <v>475931.92099999997</v>
      </c>
      <c r="M12" s="373"/>
      <c r="N12" s="373">
        <f t="shared" ref="N12:N18" si="3">J12+F12</f>
        <v>346407.8</v>
      </c>
      <c r="O12" s="373">
        <f t="shared" ref="O12:O24" si="4">G12+K12</f>
        <v>129524.121</v>
      </c>
      <c r="P12" s="448" t="s">
        <v>525</v>
      </c>
    </row>
    <row r="13" spans="1:16" ht="191.45" customHeight="1" x14ac:dyDescent="0.25">
      <c r="A13" s="93" t="s">
        <v>8</v>
      </c>
      <c r="B13" s="74" t="s">
        <v>254</v>
      </c>
      <c r="C13" s="74" t="s">
        <v>322</v>
      </c>
      <c r="D13" s="400">
        <f t="shared" si="0"/>
        <v>450258.3</v>
      </c>
      <c r="E13" s="401"/>
      <c r="F13" s="401">
        <v>248270.3</v>
      </c>
      <c r="G13" s="400">
        <v>201988</v>
      </c>
      <c r="H13" s="400">
        <f t="shared" si="1"/>
        <v>4771.2069099999999</v>
      </c>
      <c r="I13" s="401"/>
      <c r="J13" s="400">
        <v>-1184</v>
      </c>
      <c r="K13" s="479">
        <v>5955.2069099999999</v>
      </c>
      <c r="L13" s="373">
        <f t="shared" si="2"/>
        <v>455029.50691</v>
      </c>
      <c r="M13" s="373"/>
      <c r="N13" s="373">
        <f t="shared" si="3"/>
        <v>247086.3</v>
      </c>
      <c r="O13" s="373">
        <f t="shared" si="4"/>
        <v>207943.20691000001</v>
      </c>
      <c r="P13" s="449" t="s">
        <v>529</v>
      </c>
    </row>
    <row r="14" spans="1:16" ht="91.15" customHeight="1" x14ac:dyDescent="0.25">
      <c r="A14" s="93" t="s">
        <v>51</v>
      </c>
      <c r="B14" s="74" t="s">
        <v>255</v>
      </c>
      <c r="C14" s="74" t="s">
        <v>321</v>
      </c>
      <c r="D14" s="400">
        <f t="shared" si="0"/>
        <v>127151.79999999999</v>
      </c>
      <c r="E14" s="401"/>
      <c r="F14" s="401">
        <v>21381.9</v>
      </c>
      <c r="G14" s="401">
        <v>105769.9</v>
      </c>
      <c r="H14" s="400">
        <f t="shared" si="1"/>
        <v>1354.8</v>
      </c>
      <c r="I14" s="401"/>
      <c r="J14" s="401"/>
      <c r="K14" s="400">
        <v>1354.8</v>
      </c>
      <c r="L14" s="373">
        <f t="shared" si="2"/>
        <v>128506.6</v>
      </c>
      <c r="M14" s="373"/>
      <c r="N14" s="373">
        <f t="shared" si="3"/>
        <v>21381.9</v>
      </c>
      <c r="O14" s="373">
        <f t="shared" si="4"/>
        <v>107124.7</v>
      </c>
      <c r="P14" s="413" t="s">
        <v>530</v>
      </c>
    </row>
    <row r="15" spans="1:16" ht="64.900000000000006" customHeight="1" x14ac:dyDescent="0.25">
      <c r="A15" s="93" t="s">
        <v>206</v>
      </c>
      <c r="B15" s="94" t="s">
        <v>41</v>
      </c>
      <c r="C15" s="94" t="s">
        <v>44</v>
      </c>
      <c r="D15" s="400">
        <f>E15+F15+G15</f>
        <v>3032</v>
      </c>
      <c r="E15" s="401"/>
      <c r="F15" s="401">
        <v>1720.7</v>
      </c>
      <c r="G15" s="401">
        <v>1311.3</v>
      </c>
      <c r="H15" s="400">
        <f t="shared" si="1"/>
        <v>-327.92036999999999</v>
      </c>
      <c r="I15" s="401"/>
      <c r="J15" s="400">
        <v>-327.92036999999999</v>
      </c>
      <c r="K15" s="400"/>
      <c r="L15" s="373">
        <f t="shared" si="2"/>
        <v>2704.0796300000002</v>
      </c>
      <c r="M15" s="373"/>
      <c r="N15" s="373">
        <f t="shared" si="3"/>
        <v>1392.77963</v>
      </c>
      <c r="O15" s="373">
        <f t="shared" si="4"/>
        <v>1311.3</v>
      </c>
      <c r="P15" s="413" t="s">
        <v>490</v>
      </c>
    </row>
    <row r="16" spans="1:16" ht="108.6" customHeight="1" x14ac:dyDescent="0.25">
      <c r="A16" s="88" t="s">
        <v>205</v>
      </c>
      <c r="B16" s="542" t="s">
        <v>201</v>
      </c>
      <c r="C16" s="90" t="s">
        <v>60</v>
      </c>
      <c r="D16" s="400">
        <f>E16+F16+G16</f>
        <v>14214.8</v>
      </c>
      <c r="E16" s="401"/>
      <c r="F16" s="401">
        <v>14214.8</v>
      </c>
      <c r="G16" s="401"/>
      <c r="H16" s="400">
        <f t="shared" si="1"/>
        <v>-2111</v>
      </c>
      <c r="I16" s="401"/>
      <c r="J16" s="400">
        <v>-2111</v>
      </c>
      <c r="K16" s="400"/>
      <c r="L16" s="373">
        <f t="shared" si="2"/>
        <v>12103.8</v>
      </c>
      <c r="M16" s="373"/>
      <c r="N16" s="373">
        <f t="shared" si="3"/>
        <v>12103.8</v>
      </c>
      <c r="O16" s="374"/>
      <c r="P16" s="413" t="s">
        <v>490</v>
      </c>
    </row>
    <row r="17" spans="1:17" ht="114.6" customHeight="1" x14ac:dyDescent="0.25">
      <c r="A17" s="93" t="s">
        <v>207</v>
      </c>
      <c r="B17" s="90" t="s">
        <v>298</v>
      </c>
      <c r="C17" s="90" t="s">
        <v>60</v>
      </c>
      <c r="D17" s="400">
        <f>E17+F17+G17</f>
        <v>284.3</v>
      </c>
      <c r="E17" s="401"/>
      <c r="F17" s="401">
        <v>284.3</v>
      </c>
      <c r="G17" s="401"/>
      <c r="H17" s="400">
        <f t="shared" si="1"/>
        <v>18.3</v>
      </c>
      <c r="I17" s="401"/>
      <c r="J17" s="401">
        <v>18.3</v>
      </c>
      <c r="K17" s="400"/>
      <c r="L17" s="373">
        <f>N17+M17+O17</f>
        <v>302.60000000000002</v>
      </c>
      <c r="M17" s="373"/>
      <c r="N17" s="373">
        <f t="shared" si="3"/>
        <v>302.60000000000002</v>
      </c>
      <c r="O17" s="374"/>
      <c r="P17" s="413" t="s">
        <v>491</v>
      </c>
    </row>
    <row r="18" spans="1:17" ht="47.45" customHeight="1" x14ac:dyDescent="0.25">
      <c r="A18" s="81" t="s">
        <v>14</v>
      </c>
      <c r="B18" s="477" t="s">
        <v>211</v>
      </c>
      <c r="C18" s="383"/>
      <c r="D18" s="423">
        <f t="shared" si="0"/>
        <v>1120.3</v>
      </c>
      <c r="E18" s="422"/>
      <c r="F18" s="422"/>
      <c r="G18" s="423">
        <v>1120.3</v>
      </c>
      <c r="H18" s="423">
        <f t="shared" ref="H18:H24" si="5">I18+J18+K18</f>
        <v>-50.085999999999999</v>
      </c>
      <c r="I18" s="422"/>
      <c r="J18" s="422">
        <f>J19</f>
        <v>0</v>
      </c>
      <c r="K18" s="423">
        <f>K19</f>
        <v>-50.085999999999999</v>
      </c>
      <c r="L18" s="387">
        <f t="shared" si="2"/>
        <v>1070.2139999999999</v>
      </c>
      <c r="M18" s="387"/>
      <c r="N18" s="387">
        <f t="shared" si="3"/>
        <v>0</v>
      </c>
      <c r="O18" s="387">
        <f t="shared" si="4"/>
        <v>1070.2139999999999</v>
      </c>
      <c r="P18" s="450"/>
    </row>
    <row r="19" spans="1:17" ht="70.150000000000006" customHeight="1" x14ac:dyDescent="0.25">
      <c r="A19" s="88" t="s">
        <v>212</v>
      </c>
      <c r="B19" s="101" t="s">
        <v>214</v>
      </c>
      <c r="C19" s="74"/>
      <c r="D19" s="400">
        <f t="shared" si="0"/>
        <v>1120.3</v>
      </c>
      <c r="E19" s="400"/>
      <c r="F19" s="400"/>
      <c r="G19" s="400">
        <v>1120.3</v>
      </c>
      <c r="H19" s="400">
        <f t="shared" si="5"/>
        <v>-50.085999999999999</v>
      </c>
      <c r="I19" s="401"/>
      <c r="J19" s="401"/>
      <c r="K19" s="400">
        <v>-50.085999999999999</v>
      </c>
      <c r="L19" s="373">
        <f t="shared" si="2"/>
        <v>1070.2139999999999</v>
      </c>
      <c r="M19" s="373"/>
      <c r="N19" s="373"/>
      <c r="O19" s="373">
        <f t="shared" si="4"/>
        <v>1070.2139999999999</v>
      </c>
      <c r="P19" s="413" t="s">
        <v>482</v>
      </c>
    </row>
    <row r="20" spans="1:17" ht="43.15" customHeight="1" x14ac:dyDescent="0.25">
      <c r="A20" s="81" t="s">
        <v>56</v>
      </c>
      <c r="B20" s="451" t="s">
        <v>217</v>
      </c>
      <c r="C20" s="415"/>
      <c r="D20" s="423">
        <f>E20+F20+G20</f>
        <v>350</v>
      </c>
      <c r="E20" s="422"/>
      <c r="F20" s="422"/>
      <c r="G20" s="422">
        <v>350</v>
      </c>
      <c r="H20" s="423">
        <f t="shared" si="5"/>
        <v>-250</v>
      </c>
      <c r="I20" s="422"/>
      <c r="J20" s="422"/>
      <c r="K20" s="535">
        <f>K21</f>
        <v>-250</v>
      </c>
      <c r="L20" s="387">
        <f>M20+N20+O20</f>
        <v>100</v>
      </c>
      <c r="M20" s="387"/>
      <c r="N20" s="387"/>
      <c r="O20" s="387">
        <f t="shared" si="4"/>
        <v>100</v>
      </c>
      <c r="P20" s="533"/>
    </row>
    <row r="21" spans="1:17" ht="69.599999999999994" customHeight="1" x14ac:dyDescent="0.25">
      <c r="A21" s="88" t="s">
        <v>188</v>
      </c>
      <c r="B21" s="89" t="s">
        <v>220</v>
      </c>
      <c r="C21" s="74" t="s">
        <v>380</v>
      </c>
      <c r="D21" s="479">
        <f t="shared" si="0"/>
        <v>350</v>
      </c>
      <c r="E21" s="480"/>
      <c r="F21" s="480"/>
      <c r="G21" s="479">
        <v>350</v>
      </c>
      <c r="H21" s="479">
        <f t="shared" si="5"/>
        <v>-250</v>
      </c>
      <c r="I21" s="480"/>
      <c r="J21" s="480"/>
      <c r="K21" s="479">
        <f>K22</f>
        <v>-250</v>
      </c>
      <c r="L21" s="373">
        <f t="shared" si="2"/>
        <v>100</v>
      </c>
      <c r="M21" s="373"/>
      <c r="N21" s="373"/>
      <c r="O21" s="373">
        <f t="shared" si="4"/>
        <v>100</v>
      </c>
      <c r="P21" s="304"/>
    </row>
    <row r="22" spans="1:17" ht="91.15" customHeight="1" x14ac:dyDescent="0.25">
      <c r="A22" s="88"/>
      <c r="B22" s="92" t="s">
        <v>10</v>
      </c>
      <c r="C22" s="481" t="s">
        <v>446</v>
      </c>
      <c r="D22" s="400">
        <f t="shared" si="0"/>
        <v>250</v>
      </c>
      <c r="E22" s="401"/>
      <c r="F22" s="401"/>
      <c r="G22" s="400">
        <v>250</v>
      </c>
      <c r="H22" s="400">
        <f t="shared" si="5"/>
        <v>-250</v>
      </c>
      <c r="I22" s="401"/>
      <c r="J22" s="401"/>
      <c r="K22" s="400">
        <v>-250</v>
      </c>
      <c r="L22" s="373">
        <f t="shared" si="2"/>
        <v>0</v>
      </c>
      <c r="M22" s="373"/>
      <c r="N22" s="373"/>
      <c r="O22" s="373">
        <f t="shared" si="4"/>
        <v>0</v>
      </c>
      <c r="P22" s="534" t="s">
        <v>483</v>
      </c>
    </row>
    <row r="23" spans="1:17" ht="48.6" customHeight="1" x14ac:dyDescent="0.25">
      <c r="A23" s="485" t="s">
        <v>191</v>
      </c>
      <c r="B23" s="486" t="s">
        <v>228</v>
      </c>
      <c r="C23" s="484"/>
      <c r="D23" s="423">
        <f>E23+F23+G23</f>
        <v>175</v>
      </c>
      <c r="E23" s="422"/>
      <c r="F23" s="422"/>
      <c r="G23" s="423">
        <v>175</v>
      </c>
      <c r="H23" s="423">
        <f t="shared" si="5"/>
        <v>-18</v>
      </c>
      <c r="I23" s="422"/>
      <c r="J23" s="422"/>
      <c r="K23" s="423">
        <f>K24</f>
        <v>-18</v>
      </c>
      <c r="L23" s="387">
        <f>M23+N23+O23</f>
        <v>157</v>
      </c>
      <c r="M23" s="387"/>
      <c r="N23" s="387"/>
      <c r="O23" s="387">
        <f t="shared" si="4"/>
        <v>157</v>
      </c>
      <c r="P23" s="407"/>
    </row>
    <row r="24" spans="1:17" ht="48.6" customHeight="1" x14ac:dyDescent="0.25">
      <c r="A24" s="478" t="s">
        <v>318</v>
      </c>
      <c r="B24" s="482" t="s">
        <v>9</v>
      </c>
      <c r="C24" s="483" t="s">
        <v>199</v>
      </c>
      <c r="D24" s="400">
        <f>E24+F24+G24</f>
        <v>125</v>
      </c>
      <c r="E24" s="401"/>
      <c r="F24" s="401"/>
      <c r="G24" s="400">
        <v>125</v>
      </c>
      <c r="H24" s="400">
        <f t="shared" si="5"/>
        <v>-18</v>
      </c>
      <c r="I24" s="401"/>
      <c r="J24" s="401"/>
      <c r="K24" s="400">
        <v>-18</v>
      </c>
      <c r="L24" s="373">
        <f>M24+N24+O24</f>
        <v>107</v>
      </c>
      <c r="M24" s="373"/>
      <c r="N24" s="373"/>
      <c r="O24" s="373">
        <f t="shared" si="4"/>
        <v>107</v>
      </c>
      <c r="P24" s="403" t="s">
        <v>484</v>
      </c>
    </row>
    <row r="25" spans="1:17" ht="117" customHeight="1" x14ac:dyDescent="0.25">
      <c r="A25" s="81" t="s">
        <v>239</v>
      </c>
      <c r="B25" s="452" t="s">
        <v>240</v>
      </c>
      <c r="C25" s="453" t="s">
        <v>63</v>
      </c>
      <c r="D25" s="385">
        <f t="shared" si="0"/>
        <v>60</v>
      </c>
      <c r="E25" s="385"/>
      <c r="F25" s="385"/>
      <c r="G25" s="385">
        <v>60</v>
      </c>
      <c r="H25" s="385">
        <f>I25+J25+K25</f>
        <v>51</v>
      </c>
      <c r="I25" s="385"/>
      <c r="J25" s="385"/>
      <c r="K25" s="386">
        <v>51</v>
      </c>
      <c r="L25" s="387">
        <f>M25+N25+O25</f>
        <v>111</v>
      </c>
      <c r="M25" s="387"/>
      <c r="N25" s="387"/>
      <c r="O25" s="387">
        <f>K25+G25</f>
        <v>111</v>
      </c>
      <c r="P25" s="454" t="s">
        <v>485</v>
      </c>
    </row>
    <row r="26" spans="1:17" x14ac:dyDescent="0.25">
      <c r="A26" s="389"/>
      <c r="B26" s="390" t="s">
        <v>310</v>
      </c>
      <c r="C26" s="389"/>
      <c r="D26" s="392">
        <f t="shared" si="0"/>
        <v>1072430.8999999999</v>
      </c>
      <c r="E26" s="392"/>
      <c r="F26" s="392">
        <v>637582.4</v>
      </c>
      <c r="G26" s="392">
        <v>434848.5</v>
      </c>
      <c r="H26" s="394">
        <f>I26+J26+K26</f>
        <v>18072.62154</v>
      </c>
      <c r="I26" s="393"/>
      <c r="J26" s="457">
        <f>J25+J23+J20+J18+J11</f>
        <v>44.479630000000085</v>
      </c>
      <c r="K26" s="457">
        <f>K25+K23+K20+K18+K11</f>
        <v>18028.141909999998</v>
      </c>
      <c r="L26" s="382">
        <f>M26+N26+O26</f>
        <v>1090503.5215400001</v>
      </c>
      <c r="M26" s="382">
        <f>I26+E26</f>
        <v>0</v>
      </c>
      <c r="N26" s="382">
        <f>J26+F26</f>
        <v>637626.87962999998</v>
      </c>
      <c r="O26" s="382">
        <f>K26+G26</f>
        <v>452876.64191000001</v>
      </c>
      <c r="P26" s="391"/>
    </row>
    <row r="27" spans="1:17" x14ac:dyDescent="0.25">
      <c r="A27" s="377"/>
      <c r="B27" s="377"/>
      <c r="C27" s="377"/>
      <c r="D27" s="377"/>
      <c r="E27" s="377"/>
      <c r="F27" s="377"/>
      <c r="G27" s="377"/>
      <c r="H27" s="377"/>
      <c r="I27" s="377"/>
      <c r="J27" s="377"/>
      <c r="K27" s="376"/>
      <c r="L27" s="376"/>
      <c r="M27" s="376"/>
      <c r="N27" s="376"/>
      <c r="O27" s="376"/>
      <c r="P27" s="236"/>
    </row>
    <row r="28" spans="1:17" x14ac:dyDescent="0.25">
      <c r="A28" s="246"/>
      <c r="B28" s="1665" t="s">
        <v>342</v>
      </c>
      <c r="C28" s="1666"/>
      <c r="D28" s="1666"/>
      <c r="E28" s="1666"/>
      <c r="F28" s="1666"/>
      <c r="G28" s="1666"/>
      <c r="H28" s="1666"/>
      <c r="I28" s="1666"/>
      <c r="J28" s="1666"/>
      <c r="K28" s="1666"/>
      <c r="L28" s="1666"/>
      <c r="M28" s="1666"/>
      <c r="N28" s="247"/>
      <c r="O28" s="247"/>
      <c r="P28" s="248"/>
    </row>
    <row r="29" spans="1:17" ht="22.15" customHeight="1" thickBot="1" x14ac:dyDescent="0.3">
      <c r="A29" s="1667" t="s">
        <v>496</v>
      </c>
      <c r="B29" s="1667"/>
      <c r="C29" s="1667"/>
      <c r="D29" s="1667"/>
      <c r="E29" s="1667"/>
      <c r="F29" s="1667"/>
      <c r="G29" s="1667"/>
      <c r="H29" s="1667"/>
      <c r="I29" s="1667"/>
      <c r="J29" s="1667"/>
      <c r="K29" s="1667"/>
      <c r="L29" s="1667"/>
      <c r="M29" s="1667"/>
      <c r="N29" s="1668"/>
      <c r="O29" s="1668"/>
      <c r="P29" s="1668"/>
    </row>
    <row r="30" spans="1:17" ht="27" thickBot="1" x14ac:dyDescent="0.3">
      <c r="A30" s="261"/>
      <c r="B30" s="238" t="s">
        <v>0</v>
      </c>
      <c r="C30" s="239" t="s">
        <v>15</v>
      </c>
      <c r="D30" s="1669" t="s">
        <v>325</v>
      </c>
      <c r="E30" s="1669"/>
      <c r="F30" s="1669"/>
      <c r="G30" s="1669"/>
      <c r="H30" s="1669" t="s">
        <v>309</v>
      </c>
      <c r="I30" s="1669"/>
      <c r="J30" s="1669"/>
      <c r="K30" s="1669"/>
      <c r="L30" s="1669" t="s">
        <v>326</v>
      </c>
      <c r="M30" s="1669"/>
      <c r="N30" s="1669"/>
      <c r="O30" s="1670"/>
      <c r="P30" s="240"/>
    </row>
    <row r="31" spans="1:17" x14ac:dyDescent="0.25">
      <c r="A31" s="270"/>
      <c r="B31" s="265"/>
      <c r="C31" s="241"/>
      <c r="D31" s="242" t="s">
        <v>145</v>
      </c>
      <c r="E31" s="242" t="s">
        <v>4</v>
      </c>
      <c r="F31" s="242" t="s">
        <v>3</v>
      </c>
      <c r="G31" s="242" t="s">
        <v>5</v>
      </c>
      <c r="H31" s="242" t="s">
        <v>145</v>
      </c>
      <c r="I31" s="242" t="s">
        <v>4</v>
      </c>
      <c r="J31" s="242" t="s">
        <v>3</v>
      </c>
      <c r="K31" s="242" t="s">
        <v>5</v>
      </c>
      <c r="L31" s="242" t="s">
        <v>145</v>
      </c>
      <c r="M31" s="242" t="s">
        <v>4</v>
      </c>
      <c r="N31" s="242" t="s">
        <v>3</v>
      </c>
      <c r="O31" s="243" t="s">
        <v>5</v>
      </c>
      <c r="P31" s="244"/>
    </row>
    <row r="32" spans="1:17" ht="79.900000000000006" customHeight="1" x14ac:dyDescent="0.25">
      <c r="A32" s="139" t="s">
        <v>13</v>
      </c>
      <c r="B32" s="417" t="s">
        <v>244</v>
      </c>
      <c r="C32" s="384"/>
      <c r="D32" s="385">
        <f t="shared" ref="D32:D44" si="6">E32+F32+G32</f>
        <v>7759.6</v>
      </c>
      <c r="E32" s="385"/>
      <c r="F32" s="385">
        <v>1261</v>
      </c>
      <c r="G32" s="385">
        <v>6498.6</v>
      </c>
      <c r="H32" s="418">
        <f t="shared" ref="H32:H44" si="7">I32+J32+K32</f>
        <v>562.51199999999994</v>
      </c>
      <c r="I32" s="418"/>
      <c r="J32" s="562">
        <f>J33+J35</f>
        <v>412.512</v>
      </c>
      <c r="K32" s="418">
        <f>K33</f>
        <v>150</v>
      </c>
      <c r="L32" s="419">
        <f>M32+N32+O32</f>
        <v>8322.112000000001</v>
      </c>
      <c r="M32" s="419">
        <f>I32+E32</f>
        <v>0</v>
      </c>
      <c r="N32" s="419">
        <f>J32+F32</f>
        <v>1673.5119999999999</v>
      </c>
      <c r="O32" s="419">
        <f>K32+G32</f>
        <v>6648.6</v>
      </c>
      <c r="P32" s="420"/>
      <c r="Q32" s="375"/>
    </row>
    <row r="33" spans="1:16" ht="50.45" customHeight="1" x14ac:dyDescent="0.25">
      <c r="A33" s="139" t="s">
        <v>53</v>
      </c>
      <c r="B33" s="383" t="s">
        <v>293</v>
      </c>
      <c r="C33" s="384"/>
      <c r="D33" s="385">
        <f t="shared" si="6"/>
        <v>2417.1999999999998</v>
      </c>
      <c r="E33" s="385"/>
      <c r="F33" s="385"/>
      <c r="G33" s="385">
        <v>2417.1999999999998</v>
      </c>
      <c r="H33" s="385">
        <f t="shared" si="7"/>
        <v>150</v>
      </c>
      <c r="I33" s="385"/>
      <c r="J33" s="385">
        <v>0</v>
      </c>
      <c r="K33" s="385">
        <f>K34</f>
        <v>150</v>
      </c>
      <c r="L33" s="387">
        <f>M33+N33+O33</f>
        <v>2567.1999999999998</v>
      </c>
      <c r="M33" s="395"/>
      <c r="N33" s="419">
        <f>J33+F33</f>
        <v>0</v>
      </c>
      <c r="O33" s="387">
        <f>K33+G33</f>
        <v>2567.1999999999998</v>
      </c>
      <c r="P33" s="396"/>
    </row>
    <row r="34" spans="1:16" ht="50.45" customHeight="1" x14ac:dyDescent="0.25">
      <c r="A34" s="388"/>
      <c r="B34" s="424" t="s">
        <v>488</v>
      </c>
      <c r="C34" s="74" t="s">
        <v>487</v>
      </c>
      <c r="D34" s="262">
        <f t="shared" si="6"/>
        <v>0</v>
      </c>
      <c r="E34" s="262"/>
      <c r="F34" s="262"/>
      <c r="G34" s="262">
        <v>0</v>
      </c>
      <c r="H34" s="262">
        <f t="shared" si="7"/>
        <v>150</v>
      </c>
      <c r="I34" s="262"/>
      <c r="J34" s="262"/>
      <c r="K34" s="262">
        <v>150</v>
      </c>
      <c r="L34" s="373">
        <f>M34+N34+O34</f>
        <v>150</v>
      </c>
      <c r="M34" s="374">
        <f>I34+E34</f>
        <v>0</v>
      </c>
      <c r="N34" s="373">
        <f>J34+F34</f>
        <v>0</v>
      </c>
      <c r="O34" s="373">
        <f>K34+G34</f>
        <v>150</v>
      </c>
      <c r="P34" s="414" t="s">
        <v>489</v>
      </c>
    </row>
    <row r="35" spans="1:16" ht="46.15" customHeight="1" x14ac:dyDescent="0.25">
      <c r="A35" s="543" t="s">
        <v>189</v>
      </c>
      <c r="B35" s="383" t="s">
        <v>154</v>
      </c>
      <c r="C35" s="484"/>
      <c r="D35" s="423">
        <f t="shared" si="6"/>
        <v>3895.1</v>
      </c>
      <c r="E35" s="422"/>
      <c r="F35" s="423">
        <v>1261</v>
      </c>
      <c r="G35" s="423">
        <v>2634.1</v>
      </c>
      <c r="H35" s="423">
        <f t="shared" si="7"/>
        <v>412.512</v>
      </c>
      <c r="I35" s="422"/>
      <c r="J35" s="563">
        <f>J36+J37+J38+J39+J40</f>
        <v>412.512</v>
      </c>
      <c r="K35" s="423">
        <f>K36+K37+K38+K39</f>
        <v>0</v>
      </c>
      <c r="L35" s="387">
        <f t="shared" ref="L35:L43" si="8">M35+N35+O35</f>
        <v>4307.6120000000001</v>
      </c>
      <c r="M35" s="387"/>
      <c r="N35" s="395">
        <f t="shared" ref="N35:N44" si="9">F35+J35</f>
        <v>1673.5119999999999</v>
      </c>
      <c r="O35" s="387">
        <f t="shared" ref="O35:O44" si="10">G35+K35</f>
        <v>2634.1</v>
      </c>
      <c r="P35" s="533"/>
    </row>
    <row r="36" spans="1:16" ht="28.9" customHeight="1" x14ac:dyDescent="0.25">
      <c r="A36" s="150"/>
      <c r="B36" s="145" t="s">
        <v>106</v>
      </c>
      <c r="C36" s="145" t="s">
        <v>284</v>
      </c>
      <c r="D36" s="479">
        <f t="shared" si="6"/>
        <v>238.8</v>
      </c>
      <c r="E36" s="480"/>
      <c r="F36" s="479">
        <v>200</v>
      </c>
      <c r="G36" s="479">
        <v>38.799999999999997</v>
      </c>
      <c r="H36" s="479">
        <f t="shared" si="7"/>
        <v>-44.605759999999997</v>
      </c>
      <c r="I36" s="480"/>
      <c r="J36" s="480">
        <v>-44.605759999999997</v>
      </c>
      <c r="K36" s="479"/>
      <c r="L36" s="373">
        <f t="shared" si="8"/>
        <v>194.19423999999998</v>
      </c>
      <c r="M36" s="373"/>
      <c r="N36" s="373">
        <f t="shared" si="9"/>
        <v>155.39424</v>
      </c>
      <c r="O36" s="373">
        <f t="shared" si="10"/>
        <v>38.799999999999997</v>
      </c>
      <c r="P36" s="1672" t="s">
        <v>497</v>
      </c>
    </row>
    <row r="37" spans="1:16" ht="22.9" customHeight="1" x14ac:dyDescent="0.25">
      <c r="A37" s="150"/>
      <c r="B37" s="145" t="s">
        <v>331</v>
      </c>
      <c r="C37" s="145" t="s">
        <v>305</v>
      </c>
      <c r="D37" s="479">
        <f t="shared" si="6"/>
        <v>274.2</v>
      </c>
      <c r="E37" s="480"/>
      <c r="F37" s="479">
        <v>261</v>
      </c>
      <c r="G37" s="479">
        <v>13.2</v>
      </c>
      <c r="H37" s="479">
        <f t="shared" si="7"/>
        <v>-10.55625</v>
      </c>
      <c r="I37" s="480"/>
      <c r="J37" s="480">
        <v>-10.55625</v>
      </c>
      <c r="K37" s="479"/>
      <c r="L37" s="373">
        <f t="shared" si="8"/>
        <v>263.64375000000001</v>
      </c>
      <c r="M37" s="373"/>
      <c r="N37" s="373">
        <f t="shared" si="9"/>
        <v>250.44374999999999</v>
      </c>
      <c r="O37" s="373">
        <f t="shared" si="10"/>
        <v>13.2</v>
      </c>
      <c r="P37" s="1673"/>
    </row>
    <row r="38" spans="1:16" ht="21" customHeight="1" x14ac:dyDescent="0.25">
      <c r="A38" s="150"/>
      <c r="B38" s="102" t="s">
        <v>285</v>
      </c>
      <c r="C38" s="145" t="s">
        <v>284</v>
      </c>
      <c r="D38" s="479">
        <f t="shared" si="6"/>
        <v>996.5</v>
      </c>
      <c r="E38" s="480"/>
      <c r="F38" s="479">
        <v>800</v>
      </c>
      <c r="G38" s="479">
        <v>196.5</v>
      </c>
      <c r="H38" s="479">
        <f t="shared" si="7"/>
        <v>-142.05727999999999</v>
      </c>
      <c r="I38" s="480"/>
      <c r="J38" s="480">
        <v>-142.05727999999999</v>
      </c>
      <c r="K38" s="479"/>
      <c r="L38" s="373">
        <f t="shared" si="8"/>
        <v>854.44272000000001</v>
      </c>
      <c r="M38" s="373"/>
      <c r="N38" s="373">
        <f t="shared" si="9"/>
        <v>657.94272000000001</v>
      </c>
      <c r="O38" s="373">
        <f t="shared" si="10"/>
        <v>196.5</v>
      </c>
      <c r="P38" s="1673"/>
    </row>
    <row r="39" spans="1:16" ht="26.45" customHeight="1" x14ac:dyDescent="0.25">
      <c r="A39" s="150"/>
      <c r="B39" s="102" t="s">
        <v>462</v>
      </c>
      <c r="C39" s="144" t="s">
        <v>93</v>
      </c>
      <c r="D39" s="479">
        <f t="shared" si="6"/>
        <v>135</v>
      </c>
      <c r="E39" s="480"/>
      <c r="F39" s="479"/>
      <c r="G39" s="479">
        <v>135</v>
      </c>
      <c r="H39" s="479">
        <f t="shared" si="7"/>
        <v>465</v>
      </c>
      <c r="I39" s="480"/>
      <c r="J39" s="479">
        <v>465</v>
      </c>
      <c r="K39" s="479"/>
      <c r="L39" s="373">
        <f t="shared" si="8"/>
        <v>600</v>
      </c>
      <c r="M39" s="373"/>
      <c r="N39" s="373">
        <f t="shared" si="9"/>
        <v>465</v>
      </c>
      <c r="O39" s="373">
        <f t="shared" si="10"/>
        <v>135</v>
      </c>
      <c r="P39" s="1673"/>
    </row>
    <row r="40" spans="1:16" ht="24.6" customHeight="1" x14ac:dyDescent="0.25">
      <c r="A40" s="150"/>
      <c r="B40" s="102" t="s">
        <v>492</v>
      </c>
      <c r="C40" s="145" t="s">
        <v>24</v>
      </c>
      <c r="D40" s="479">
        <f t="shared" si="6"/>
        <v>0</v>
      </c>
      <c r="E40" s="480"/>
      <c r="F40" s="479"/>
      <c r="G40" s="479">
        <v>0</v>
      </c>
      <c r="H40" s="479">
        <f t="shared" si="7"/>
        <v>144.73129</v>
      </c>
      <c r="I40" s="480"/>
      <c r="J40" s="573">
        <v>144.73129</v>
      </c>
      <c r="K40" s="479"/>
      <c r="L40" s="373">
        <f t="shared" si="8"/>
        <v>144.73129</v>
      </c>
      <c r="M40" s="373"/>
      <c r="N40" s="373">
        <f t="shared" si="9"/>
        <v>144.73129</v>
      </c>
      <c r="O40" s="373">
        <f t="shared" si="10"/>
        <v>0</v>
      </c>
      <c r="P40" s="1674"/>
    </row>
    <row r="41" spans="1:16" ht="34.15" customHeight="1" x14ac:dyDescent="0.25">
      <c r="A41" s="139" t="s">
        <v>191</v>
      </c>
      <c r="B41" s="415" t="s">
        <v>267</v>
      </c>
      <c r="C41" s="547"/>
      <c r="D41" s="418">
        <f t="shared" si="6"/>
        <v>32342.3</v>
      </c>
      <c r="E41" s="418"/>
      <c r="F41" s="418">
        <v>29568.5</v>
      </c>
      <c r="G41" s="418">
        <v>2773.8</v>
      </c>
      <c r="H41" s="418">
        <f t="shared" si="7"/>
        <v>19.7</v>
      </c>
      <c r="I41" s="418"/>
      <c r="J41" s="418">
        <f>J42+J43</f>
        <v>19.7</v>
      </c>
      <c r="K41" s="418"/>
      <c r="L41" s="387">
        <f t="shared" si="8"/>
        <v>32362</v>
      </c>
      <c r="M41" s="548"/>
      <c r="N41" s="387">
        <f t="shared" si="9"/>
        <v>29588.2</v>
      </c>
      <c r="O41" s="419">
        <f t="shared" si="10"/>
        <v>2773.8</v>
      </c>
      <c r="P41" s="549"/>
    </row>
    <row r="42" spans="1:16" ht="56.45" customHeight="1" x14ac:dyDescent="0.25">
      <c r="A42" s="151" t="s">
        <v>493</v>
      </c>
      <c r="B42" s="317" t="s">
        <v>246</v>
      </c>
      <c r="C42" s="152" t="s">
        <v>43</v>
      </c>
      <c r="D42" s="544">
        <f t="shared" si="6"/>
        <v>28064.6</v>
      </c>
      <c r="E42" s="544"/>
      <c r="F42" s="544">
        <v>28064.6</v>
      </c>
      <c r="G42" s="544"/>
      <c r="H42" s="544">
        <f t="shared" si="7"/>
        <v>13.7</v>
      </c>
      <c r="I42" s="544"/>
      <c r="J42" s="544">
        <v>13.7</v>
      </c>
      <c r="K42" s="544"/>
      <c r="L42" s="373">
        <f t="shared" si="8"/>
        <v>28078.3</v>
      </c>
      <c r="M42" s="546"/>
      <c r="N42" s="373">
        <f t="shared" si="9"/>
        <v>28078.3</v>
      </c>
      <c r="O42" s="545">
        <f t="shared" si="10"/>
        <v>0</v>
      </c>
      <c r="P42" s="550" t="s">
        <v>491</v>
      </c>
    </row>
    <row r="43" spans="1:16" ht="54" customHeight="1" x14ac:dyDescent="0.25">
      <c r="A43" s="153" t="s">
        <v>247</v>
      </c>
      <c r="B43" s="318" t="s">
        <v>296</v>
      </c>
      <c r="C43" s="154" t="s">
        <v>43</v>
      </c>
      <c r="D43" s="544">
        <f t="shared" si="6"/>
        <v>3463.9</v>
      </c>
      <c r="E43" s="544"/>
      <c r="F43" s="544">
        <v>1503.9</v>
      </c>
      <c r="G43" s="544">
        <v>1960</v>
      </c>
      <c r="H43" s="544">
        <f t="shared" si="7"/>
        <v>6</v>
      </c>
      <c r="I43" s="544"/>
      <c r="J43" s="544">
        <v>6</v>
      </c>
      <c r="K43" s="544"/>
      <c r="L43" s="373">
        <f t="shared" si="8"/>
        <v>3469.9</v>
      </c>
      <c r="M43" s="546"/>
      <c r="N43" s="373">
        <f t="shared" si="9"/>
        <v>1509.9</v>
      </c>
      <c r="O43" s="545">
        <f t="shared" si="10"/>
        <v>1960</v>
      </c>
      <c r="P43" s="550" t="s">
        <v>491</v>
      </c>
    </row>
    <row r="44" spans="1:16" ht="15.75" thickBot="1" x14ac:dyDescent="0.3">
      <c r="A44" s="264"/>
      <c r="B44" s="263" t="s">
        <v>310</v>
      </c>
      <c r="C44" s="245"/>
      <c r="D44" s="249">
        <f t="shared" si="6"/>
        <v>43017.9</v>
      </c>
      <c r="E44" s="249">
        <v>2386</v>
      </c>
      <c r="F44" s="249">
        <v>30829.5</v>
      </c>
      <c r="G44" s="249">
        <v>9802.4</v>
      </c>
      <c r="H44" s="250">
        <f t="shared" si="7"/>
        <v>582.21199999999999</v>
      </c>
      <c r="I44" s="250"/>
      <c r="J44" s="268">
        <f>J41+J32</f>
        <v>432.21199999999999</v>
      </c>
      <c r="K44" s="268">
        <f>K32</f>
        <v>150</v>
      </c>
      <c r="L44" s="249">
        <f>M44+N44+O44</f>
        <v>43600.112000000001</v>
      </c>
      <c r="M44" s="251">
        <f>E44+I44</f>
        <v>2386</v>
      </c>
      <c r="N44" s="251">
        <f t="shared" si="9"/>
        <v>31261.712</v>
      </c>
      <c r="O44" s="537">
        <f t="shared" si="10"/>
        <v>9952.4</v>
      </c>
      <c r="P44" s="551"/>
    </row>
    <row r="45" spans="1:16" x14ac:dyDescent="0.25">
      <c r="A45" s="252"/>
      <c r="B45" s="309"/>
      <c r="C45" s="252"/>
      <c r="D45" s="247"/>
      <c r="E45" s="247"/>
      <c r="F45" s="247"/>
      <c r="G45" s="247"/>
      <c r="H45" s="402"/>
      <c r="I45" s="402"/>
      <c r="J45" s="310"/>
      <c r="K45" s="310"/>
      <c r="L45" s="247"/>
      <c r="M45" s="247"/>
      <c r="N45" s="247"/>
      <c r="O45" s="247"/>
      <c r="P45" s="588"/>
    </row>
    <row r="46" spans="1:16" x14ac:dyDescent="0.25">
      <c r="A46" s="252"/>
      <c r="B46" s="309"/>
      <c r="C46" s="1675" t="s">
        <v>434</v>
      </c>
      <c r="D46" s="1620"/>
      <c r="E46" s="1620"/>
      <c r="F46" s="1620"/>
      <c r="G46" s="1620"/>
      <c r="H46" s="1620"/>
      <c r="I46" s="1620"/>
      <c r="J46" s="1620"/>
      <c r="K46" s="1620"/>
      <c r="L46" s="1620"/>
      <c r="M46" s="1620"/>
      <c r="N46" s="247"/>
      <c r="O46" s="247"/>
      <c r="P46" s="288"/>
    </row>
    <row r="47" spans="1:16" ht="15.75" thickBot="1" x14ac:dyDescent="0.3">
      <c r="A47" s="252" t="s">
        <v>528</v>
      </c>
      <c r="B47" s="309"/>
      <c r="C47" s="411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247"/>
      <c r="O47" s="247"/>
      <c r="P47" s="288"/>
    </row>
    <row r="48" spans="1:16" ht="27" thickBot="1" x14ac:dyDescent="0.3">
      <c r="A48" s="261"/>
      <c r="B48" s="238" t="s">
        <v>0</v>
      </c>
      <c r="C48" s="239" t="s">
        <v>15</v>
      </c>
      <c r="D48" s="1669" t="s">
        <v>325</v>
      </c>
      <c r="E48" s="1669"/>
      <c r="F48" s="1669"/>
      <c r="G48" s="1669"/>
      <c r="H48" s="1669" t="s">
        <v>309</v>
      </c>
      <c r="I48" s="1669"/>
      <c r="J48" s="1669"/>
      <c r="K48" s="1669"/>
      <c r="L48" s="1669" t="s">
        <v>326</v>
      </c>
      <c r="M48" s="1669"/>
      <c r="N48" s="1669"/>
      <c r="O48" s="1670"/>
      <c r="P48" s="589"/>
    </row>
    <row r="49" spans="1:16" x14ac:dyDescent="0.25">
      <c r="A49" s="241"/>
      <c r="B49" s="265"/>
      <c r="C49" s="241"/>
      <c r="D49" s="242" t="s">
        <v>145</v>
      </c>
      <c r="E49" s="242" t="s">
        <v>4</v>
      </c>
      <c r="F49" s="242" t="s">
        <v>3</v>
      </c>
      <c r="G49" s="242" t="s">
        <v>5</v>
      </c>
      <c r="H49" s="242" t="s">
        <v>145</v>
      </c>
      <c r="I49" s="242" t="s">
        <v>4</v>
      </c>
      <c r="J49" s="242" t="s">
        <v>3</v>
      </c>
      <c r="K49" s="242" t="s">
        <v>5</v>
      </c>
      <c r="L49" s="242" t="s">
        <v>145</v>
      </c>
      <c r="M49" s="242" t="s">
        <v>4</v>
      </c>
      <c r="N49" s="242" t="s">
        <v>3</v>
      </c>
      <c r="O49" s="243" t="s">
        <v>5</v>
      </c>
      <c r="P49" s="244"/>
    </row>
    <row r="50" spans="1:16" ht="51.75" x14ac:dyDescent="0.25">
      <c r="A50" s="404" t="s">
        <v>185</v>
      </c>
      <c r="B50" s="405" t="s">
        <v>367</v>
      </c>
      <c r="C50" s="405" t="s">
        <v>368</v>
      </c>
      <c r="D50" s="422">
        <f t="shared" ref="D50:D55" si="11">E50+F50+G50</f>
        <v>48459.1</v>
      </c>
      <c r="E50" s="422"/>
      <c r="F50" s="422"/>
      <c r="G50" s="422">
        <v>48459.1</v>
      </c>
      <c r="H50" s="423">
        <f t="shared" ref="H50:H55" si="12">I50+J50+K50</f>
        <v>387.54908999999998</v>
      </c>
      <c r="I50" s="422"/>
      <c r="J50" s="422"/>
      <c r="K50" s="423">
        <f>K51+K52</f>
        <v>387.54908999999998</v>
      </c>
      <c r="L50" s="423">
        <f t="shared" ref="L50:L55" si="13">M50+N50+O50</f>
        <v>48846.649089999999</v>
      </c>
      <c r="M50" s="422"/>
      <c r="N50" s="422"/>
      <c r="O50" s="455">
        <f>K50+G50</f>
        <v>48846.649089999999</v>
      </c>
      <c r="P50" s="407"/>
    </row>
    <row r="51" spans="1:16" ht="82.15" customHeight="1" x14ac:dyDescent="0.25">
      <c r="A51" s="19" t="s">
        <v>6</v>
      </c>
      <c r="B51" s="14" t="s">
        <v>369</v>
      </c>
      <c r="C51" s="14" t="s">
        <v>370</v>
      </c>
      <c r="D51" s="401">
        <f t="shared" si="11"/>
        <v>10413.1</v>
      </c>
      <c r="E51" s="242"/>
      <c r="F51" s="242"/>
      <c r="G51" s="401">
        <v>10413.1</v>
      </c>
      <c r="H51" s="400">
        <f t="shared" si="12"/>
        <v>-11.6942</v>
      </c>
      <c r="I51" s="242"/>
      <c r="J51" s="242"/>
      <c r="K51" s="400">
        <v>-11.6942</v>
      </c>
      <c r="L51" s="400">
        <f t="shared" si="13"/>
        <v>10401.4058</v>
      </c>
      <c r="M51" s="401"/>
      <c r="N51" s="401"/>
      <c r="O51" s="427">
        <f>G51+K51</f>
        <v>10401.4058</v>
      </c>
      <c r="P51" s="403" t="s">
        <v>531</v>
      </c>
    </row>
    <row r="52" spans="1:16" ht="83.45" customHeight="1" x14ac:dyDescent="0.25">
      <c r="A52" s="19" t="s">
        <v>8</v>
      </c>
      <c r="B52" s="319" t="s">
        <v>371</v>
      </c>
      <c r="C52" s="14" t="s">
        <v>110</v>
      </c>
      <c r="D52" s="401">
        <f>E52+F52+G52</f>
        <v>38256.5</v>
      </c>
      <c r="E52" s="242"/>
      <c r="F52" s="242"/>
      <c r="G52" s="401">
        <v>38256.5</v>
      </c>
      <c r="H52" s="400">
        <f>I52+J52+K52</f>
        <v>399.24329</v>
      </c>
      <c r="I52" s="242"/>
      <c r="J52" s="242"/>
      <c r="K52" s="400">
        <v>399.24329</v>
      </c>
      <c r="L52" s="400">
        <f t="shared" si="13"/>
        <v>38655.743289999999</v>
      </c>
      <c r="M52" s="401"/>
      <c r="N52" s="401"/>
      <c r="O52" s="427">
        <f>G52+K52</f>
        <v>38655.743289999999</v>
      </c>
      <c r="P52" s="403" t="s">
        <v>526</v>
      </c>
    </row>
    <row r="53" spans="1:16" ht="51.75" x14ac:dyDescent="0.25">
      <c r="A53" s="404" t="s">
        <v>13</v>
      </c>
      <c r="B53" s="416" t="s">
        <v>372</v>
      </c>
      <c r="C53" s="416" t="s">
        <v>44</v>
      </c>
      <c r="D53" s="385">
        <f t="shared" si="11"/>
        <v>690</v>
      </c>
      <c r="E53" s="385"/>
      <c r="F53" s="385"/>
      <c r="G53" s="385">
        <v>690</v>
      </c>
      <c r="H53" s="385">
        <f t="shared" si="12"/>
        <v>120</v>
      </c>
      <c r="I53" s="406"/>
      <c r="J53" s="406"/>
      <c r="K53" s="385">
        <f>K54</f>
        <v>120</v>
      </c>
      <c r="L53" s="385">
        <f t="shared" si="13"/>
        <v>810</v>
      </c>
      <c r="M53" s="406"/>
      <c r="N53" s="406"/>
      <c r="O53" s="387">
        <f>K53+G53</f>
        <v>810</v>
      </c>
      <c r="P53" s="407"/>
    </row>
    <row r="54" spans="1:16" ht="47.45" customHeight="1" x14ac:dyDescent="0.25">
      <c r="A54" s="19"/>
      <c r="B54" s="14" t="s">
        <v>441</v>
      </c>
      <c r="C54" s="308" t="s">
        <v>446</v>
      </c>
      <c r="D54" s="408">
        <f t="shared" si="11"/>
        <v>0</v>
      </c>
      <c r="E54" s="408"/>
      <c r="F54" s="408"/>
      <c r="G54" s="408">
        <v>0</v>
      </c>
      <c r="H54" s="408">
        <f t="shared" si="12"/>
        <v>120</v>
      </c>
      <c r="I54" s="363"/>
      <c r="J54" s="408"/>
      <c r="K54" s="408">
        <v>120</v>
      </c>
      <c r="L54" s="408">
        <f t="shared" si="13"/>
        <v>120</v>
      </c>
      <c r="M54" s="374">
        <f>I54+E54</f>
        <v>0</v>
      </c>
      <c r="N54" s="374">
        <f>J54+F54</f>
        <v>0</v>
      </c>
      <c r="O54" s="373">
        <f>K54+G54</f>
        <v>120</v>
      </c>
      <c r="P54" s="403" t="s">
        <v>486</v>
      </c>
    </row>
    <row r="55" spans="1:16" ht="15.75" thickBot="1" x14ac:dyDescent="0.3">
      <c r="A55" s="399"/>
      <c r="B55" s="263" t="s">
        <v>310</v>
      </c>
      <c r="C55" s="399"/>
      <c r="D55" s="394">
        <f t="shared" si="11"/>
        <v>49692.540999999997</v>
      </c>
      <c r="E55" s="393"/>
      <c r="F55" s="393"/>
      <c r="G55" s="584">
        <v>49692.540999999997</v>
      </c>
      <c r="H55" s="394">
        <f t="shared" si="12"/>
        <v>507.54908999999998</v>
      </c>
      <c r="I55" s="393"/>
      <c r="J55" s="393">
        <f>J53+J50</f>
        <v>0</v>
      </c>
      <c r="K55" s="584">
        <f>K53+K50</f>
        <v>507.54908999999998</v>
      </c>
      <c r="L55" s="394">
        <f t="shared" si="13"/>
        <v>50200.090089999998</v>
      </c>
      <c r="M55" s="393"/>
      <c r="N55" s="393"/>
      <c r="O55" s="382">
        <f>K55+G55</f>
        <v>50200.090089999998</v>
      </c>
      <c r="P55" s="403"/>
    </row>
    <row r="56" spans="1:16" x14ac:dyDescent="0.25">
      <c r="A56" s="252"/>
      <c r="B56" s="309"/>
      <c r="C56" s="252"/>
      <c r="D56" s="402"/>
      <c r="E56" s="552"/>
      <c r="F56" s="552"/>
      <c r="G56" s="402"/>
      <c r="H56" s="402"/>
      <c r="I56" s="552"/>
      <c r="J56" s="552"/>
      <c r="K56" s="402"/>
      <c r="L56" s="402"/>
      <c r="M56" s="552"/>
      <c r="N56" s="552"/>
      <c r="O56" s="553"/>
      <c r="P56" s="248"/>
    </row>
    <row r="57" spans="1:16" x14ac:dyDescent="0.25">
      <c r="A57" s="252"/>
      <c r="B57" s="309"/>
      <c r="C57" s="252"/>
      <c r="D57" s="402"/>
      <c r="E57" s="552"/>
      <c r="F57" s="552"/>
      <c r="G57" s="402"/>
      <c r="H57" s="402" t="s">
        <v>494</v>
      </c>
      <c r="I57" s="552"/>
      <c r="J57" s="552"/>
      <c r="K57" s="402"/>
      <c r="L57" s="402"/>
      <c r="M57" s="552"/>
      <c r="N57" s="552"/>
      <c r="O57" s="553"/>
      <c r="P57" s="248"/>
    </row>
    <row r="58" spans="1:16" ht="15.75" thickBot="1" x14ac:dyDescent="0.3">
      <c r="A58" s="252" t="s">
        <v>524</v>
      </c>
      <c r="B58" s="309"/>
      <c r="C58" s="252"/>
      <c r="D58" s="402"/>
      <c r="E58" s="552"/>
      <c r="F58" s="552"/>
      <c r="G58" s="402"/>
      <c r="H58" s="402"/>
      <c r="I58" s="552"/>
      <c r="J58" s="552"/>
      <c r="K58" s="402"/>
      <c r="L58" s="402"/>
      <c r="M58" s="552"/>
      <c r="N58" s="552"/>
      <c r="O58" s="553"/>
      <c r="P58" s="248"/>
    </row>
    <row r="59" spans="1:16" ht="27" thickBot="1" x14ac:dyDescent="0.3">
      <c r="A59" s="261"/>
      <c r="B59" s="238" t="s">
        <v>0</v>
      </c>
      <c r="C59" s="239" t="s">
        <v>15</v>
      </c>
      <c r="D59" s="1669" t="s">
        <v>325</v>
      </c>
      <c r="E59" s="1669"/>
      <c r="F59" s="1669"/>
      <c r="G59" s="1669"/>
      <c r="H59" s="1669" t="s">
        <v>309</v>
      </c>
      <c r="I59" s="1669"/>
      <c r="J59" s="1669"/>
      <c r="K59" s="1669"/>
      <c r="L59" s="1669" t="s">
        <v>326</v>
      </c>
      <c r="M59" s="1669"/>
      <c r="N59" s="1669"/>
      <c r="O59" s="1670"/>
      <c r="P59" s="589"/>
    </row>
    <row r="60" spans="1:16" x14ac:dyDescent="0.25">
      <c r="A60" s="241"/>
      <c r="B60" s="265"/>
      <c r="C60" s="241"/>
      <c r="D60" s="242" t="s">
        <v>145</v>
      </c>
      <c r="E60" s="242" t="s">
        <v>4</v>
      </c>
      <c r="F60" s="242" t="s">
        <v>3</v>
      </c>
      <c r="G60" s="242" t="s">
        <v>5</v>
      </c>
      <c r="H60" s="242" t="s">
        <v>145</v>
      </c>
      <c r="I60" s="242" t="s">
        <v>4</v>
      </c>
      <c r="J60" s="242" t="s">
        <v>3</v>
      </c>
      <c r="K60" s="242" t="s">
        <v>5</v>
      </c>
      <c r="L60" s="242" t="s">
        <v>145</v>
      </c>
      <c r="M60" s="242" t="s">
        <v>4</v>
      </c>
      <c r="N60" s="242" t="s">
        <v>3</v>
      </c>
      <c r="O60" s="243" t="s">
        <v>5</v>
      </c>
      <c r="P60" s="244"/>
    </row>
    <row r="61" spans="1:16" ht="141" x14ac:dyDescent="0.25">
      <c r="A61" s="406" t="s">
        <v>185</v>
      </c>
      <c r="B61" s="296" t="s">
        <v>495</v>
      </c>
      <c r="C61" s="296" t="s">
        <v>416</v>
      </c>
      <c r="D61" s="422">
        <f>E61+F61+G61</f>
        <v>71899.899999999994</v>
      </c>
      <c r="E61" s="422"/>
      <c r="F61" s="422">
        <v>71899.899999999994</v>
      </c>
      <c r="G61" s="554"/>
      <c r="H61" s="423">
        <f>I61+J61+K61</f>
        <v>-2387.6</v>
      </c>
      <c r="I61" s="422"/>
      <c r="J61" s="422">
        <v>-2387.6</v>
      </c>
      <c r="K61" s="423">
        <v>0</v>
      </c>
      <c r="L61" s="423">
        <f>M61+N61+O61</f>
        <v>69512.299999999988</v>
      </c>
      <c r="M61" s="422"/>
      <c r="N61" s="395">
        <f>J61+F61</f>
        <v>69512.299999999988</v>
      </c>
      <c r="O61" s="455"/>
      <c r="P61" s="407" t="s">
        <v>522</v>
      </c>
    </row>
    <row r="62" spans="1:16" ht="65.25" thickBot="1" x14ac:dyDescent="0.3">
      <c r="A62" s="559" t="s">
        <v>190</v>
      </c>
      <c r="B62" s="558" t="s">
        <v>421</v>
      </c>
      <c r="C62" s="558" t="s">
        <v>50</v>
      </c>
      <c r="D62" s="418">
        <f>E62+F62+G62</f>
        <v>2570.8000000000002</v>
      </c>
      <c r="E62" s="559"/>
      <c r="F62" s="559">
        <v>2570.8000000000002</v>
      </c>
      <c r="G62" s="418"/>
      <c r="H62" s="418">
        <f>I62+J62+K62</f>
        <v>0.2</v>
      </c>
      <c r="I62" s="559"/>
      <c r="J62" s="559">
        <v>0.2</v>
      </c>
      <c r="K62" s="418"/>
      <c r="L62" s="560">
        <f>M62+N62+O62</f>
        <v>2571</v>
      </c>
      <c r="M62" s="559"/>
      <c r="N62" s="548">
        <f>J62+F62</f>
        <v>2571</v>
      </c>
      <c r="O62" s="561"/>
      <c r="P62" s="450" t="s">
        <v>521</v>
      </c>
    </row>
    <row r="63" spans="1:16" ht="15.75" thickBot="1" x14ac:dyDescent="0.3">
      <c r="A63" s="564"/>
      <c r="B63" s="555" t="s">
        <v>310</v>
      </c>
      <c r="C63" s="556"/>
      <c r="D63" s="557">
        <f>E63+F63+G63</f>
        <v>74530.7</v>
      </c>
      <c r="E63" s="538"/>
      <c r="F63" s="538">
        <v>74470.7</v>
      </c>
      <c r="G63" s="557">
        <v>60</v>
      </c>
      <c r="H63" s="557">
        <f>I63+J63+K63</f>
        <v>-2387.4</v>
      </c>
      <c r="I63" s="538"/>
      <c r="J63" s="538">
        <f>J62+J61</f>
        <v>-2387.4</v>
      </c>
      <c r="K63" s="557">
        <f>K62+K61</f>
        <v>0</v>
      </c>
      <c r="L63" s="557">
        <f>M63+N63+O63</f>
        <v>72143.3</v>
      </c>
      <c r="M63" s="565">
        <f>I63+E63</f>
        <v>0</v>
      </c>
      <c r="N63" s="565">
        <f>J63+F63</f>
        <v>72083.3</v>
      </c>
      <c r="O63" s="565">
        <f>K63+G63</f>
        <v>60</v>
      </c>
      <c r="P63" s="240"/>
    </row>
    <row r="64" spans="1:16" ht="15.75" thickBot="1" x14ac:dyDescent="0.3">
      <c r="A64" s="252"/>
      <c r="B64" s="309"/>
      <c r="C64" s="252"/>
      <c r="D64" s="247"/>
      <c r="E64" s="247"/>
      <c r="F64" s="247"/>
      <c r="G64" s="247"/>
      <c r="H64" s="310"/>
      <c r="I64" s="310"/>
      <c r="J64" s="310"/>
      <c r="K64" s="310"/>
      <c r="L64" s="247"/>
      <c r="M64" s="247"/>
      <c r="N64" s="247"/>
      <c r="O64" s="247"/>
      <c r="P64" s="551"/>
    </row>
    <row r="65" spans="1:16" ht="15.75" thickBot="1" x14ac:dyDescent="0.3">
      <c r="A65" s="255"/>
      <c r="B65" s="256" t="s">
        <v>311</v>
      </c>
      <c r="C65" s="256"/>
      <c r="D65" s="257">
        <f>E65+F65+G65</f>
        <v>1239828</v>
      </c>
      <c r="E65" s="258">
        <v>2386</v>
      </c>
      <c r="F65" s="258">
        <v>742882.6</v>
      </c>
      <c r="G65" s="258">
        <v>494559.4</v>
      </c>
      <c r="H65" s="257">
        <f>I65+J65+K65</f>
        <v>16774.982629999999</v>
      </c>
      <c r="I65" s="258">
        <f>I44</f>
        <v>0</v>
      </c>
      <c r="J65" s="576">
        <f>J63+J55+J44+J26</f>
        <v>-1910.7083700000001</v>
      </c>
      <c r="K65" s="536">
        <f>K63+K55+K44+K26</f>
        <v>18685.690999999999</v>
      </c>
      <c r="L65" s="258">
        <f>M65+N65+O65</f>
        <v>1256602.98263</v>
      </c>
      <c r="M65" s="258">
        <f>E65+I65</f>
        <v>2386</v>
      </c>
      <c r="N65" s="258">
        <f>F65+J65</f>
        <v>740971.89162999997</v>
      </c>
      <c r="O65" s="594">
        <f>G65+K65</f>
        <v>513245.09100000001</v>
      </c>
      <c r="P65" s="551"/>
    </row>
    <row r="66" spans="1:16" x14ac:dyDescent="0.25">
      <c r="A66" s="253"/>
      <c r="B66" s="253"/>
      <c r="C66" s="253"/>
      <c r="D66" s="247"/>
      <c r="E66" s="254"/>
      <c r="F66" s="254"/>
      <c r="G66" s="254"/>
      <c r="H66" s="247"/>
      <c r="I66" s="254"/>
      <c r="J66" s="254"/>
      <c r="K66" s="287"/>
      <c r="L66" s="254"/>
      <c r="M66" s="254"/>
      <c r="N66" s="254"/>
      <c r="O66" s="254"/>
      <c r="P66" s="288"/>
    </row>
    <row r="67" spans="1:16" ht="15.75" x14ac:dyDescent="0.25">
      <c r="B67" s="236" t="s">
        <v>352</v>
      </c>
      <c r="C67" s="209"/>
      <c r="D67" s="214"/>
      <c r="E67" s="215"/>
      <c r="F67" s="209"/>
      <c r="G67" s="209"/>
      <c r="H67" s="216"/>
      <c r="I67" s="212"/>
      <c r="J67" s="412"/>
    </row>
    <row r="68" spans="1:16" ht="18.75" x14ac:dyDescent="0.3">
      <c r="B68" s="274"/>
      <c r="C68" s="272"/>
      <c r="D68" s="275"/>
      <c r="E68" s="276"/>
      <c r="F68" s="271"/>
      <c r="G68" s="271"/>
      <c r="H68" s="277"/>
      <c r="I68" s="278"/>
      <c r="J68" s="279"/>
      <c r="K68" s="274"/>
    </row>
    <row r="69" spans="1:16" x14ac:dyDescent="0.25">
      <c r="C69" s="221"/>
      <c r="D69" s="221"/>
      <c r="E69" s="221"/>
      <c r="F69" s="221"/>
      <c r="G69" s="221"/>
      <c r="H69" s="221"/>
      <c r="I69" s="221"/>
      <c r="J69" s="221"/>
    </row>
    <row r="70" spans="1:16" ht="15.75" x14ac:dyDescent="0.25">
      <c r="C70" s="209"/>
      <c r="D70" s="209"/>
      <c r="E70" s="217"/>
      <c r="F70" s="209"/>
      <c r="G70" s="209"/>
      <c r="H70" s="218"/>
      <c r="I70" s="212"/>
      <c r="J70" s="211"/>
    </row>
    <row r="71" spans="1:16" ht="15.75" x14ac:dyDescent="0.25">
      <c r="C71" s="210"/>
      <c r="D71" s="219"/>
      <c r="E71" s="220"/>
      <c r="F71" s="210"/>
      <c r="G71" s="209"/>
      <c r="H71" s="216"/>
      <c r="I71" s="213"/>
      <c r="J71" s="211"/>
    </row>
    <row r="72" spans="1:16" ht="15.75" x14ac:dyDescent="0.25">
      <c r="C72" s="209"/>
      <c r="D72" s="214"/>
      <c r="E72" s="215"/>
      <c r="F72" s="209"/>
      <c r="G72" s="209"/>
      <c r="H72" s="216"/>
      <c r="I72" s="212"/>
      <c r="J72" s="211"/>
    </row>
    <row r="73" spans="1:16" ht="15.75" x14ac:dyDescent="0.25">
      <c r="C73" s="209"/>
      <c r="D73" s="214"/>
      <c r="E73" s="215"/>
      <c r="F73" s="209"/>
      <c r="G73" s="209"/>
      <c r="H73" s="216"/>
      <c r="I73" s="212"/>
      <c r="J73" s="211"/>
    </row>
    <row r="74" spans="1:16" ht="15.75" x14ac:dyDescent="0.25">
      <c r="C74" s="210"/>
      <c r="D74" s="219"/>
      <c r="E74" s="220"/>
      <c r="F74" s="210"/>
      <c r="G74" s="210"/>
      <c r="H74" s="216"/>
      <c r="I74" s="213"/>
      <c r="J74" s="211"/>
    </row>
    <row r="75" spans="1:16" x14ac:dyDescent="0.25">
      <c r="C75" s="222"/>
      <c r="D75" s="222"/>
      <c r="E75" s="223"/>
      <c r="F75" s="222"/>
      <c r="G75" s="222"/>
      <c r="H75" s="224"/>
      <c r="I75" s="225"/>
      <c r="J75" s="226"/>
    </row>
    <row r="76" spans="1:16" x14ac:dyDescent="0.25">
      <c r="C76" s="221"/>
      <c r="D76" s="221"/>
      <c r="E76" s="221"/>
      <c r="F76" s="221"/>
      <c r="G76" s="221"/>
      <c r="H76" s="221"/>
      <c r="I76" s="221"/>
      <c r="J76" s="221"/>
    </row>
    <row r="77" spans="1:16" x14ac:dyDescent="0.25">
      <c r="C77" s="208"/>
      <c r="D77" s="208"/>
      <c r="E77" s="208"/>
      <c r="F77" s="208"/>
      <c r="G77" s="208"/>
      <c r="H77" s="208"/>
      <c r="I77" s="208"/>
      <c r="J77" s="221"/>
    </row>
  </sheetData>
  <mergeCells count="19"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  <mergeCell ref="B4:O4"/>
    <mergeCell ref="B28:M28"/>
    <mergeCell ref="A29:P29"/>
    <mergeCell ref="B6:M6"/>
    <mergeCell ref="D9:G9"/>
    <mergeCell ref="H9:K9"/>
    <mergeCell ref="L9:O9"/>
    <mergeCell ref="A5:N5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680" t="s">
        <v>540</v>
      </c>
      <c r="B2" s="1681"/>
      <c r="C2" s="1681"/>
      <c r="D2" s="1681"/>
      <c r="E2" s="1681"/>
      <c r="F2" s="1681"/>
      <c r="G2" s="1681"/>
    </row>
    <row r="3" spans="1:7" x14ac:dyDescent="0.25">
      <c r="A3" s="1681"/>
      <c r="B3" s="1681"/>
      <c r="C3" s="1681"/>
      <c r="D3" s="1681"/>
      <c r="E3" s="1681"/>
      <c r="F3" s="1681"/>
      <c r="G3" s="1681"/>
    </row>
    <row r="4" spans="1:7" x14ac:dyDescent="0.25">
      <c r="A4" s="316"/>
      <c r="B4" s="316"/>
      <c r="C4" s="316"/>
      <c r="D4" s="583" t="s">
        <v>539</v>
      </c>
      <c r="E4" s="284">
        <v>2016</v>
      </c>
      <c r="F4" s="315" t="s">
        <v>379</v>
      </c>
      <c r="G4" s="316"/>
    </row>
    <row r="5" spans="1:7" ht="15.75" thickBot="1" x14ac:dyDescent="0.3">
      <c r="A5" s="381"/>
      <c r="B5" s="381"/>
      <c r="C5" s="381"/>
      <c r="D5" s="381"/>
      <c r="E5" s="380"/>
      <c r="F5" s="315"/>
      <c r="G5" s="381"/>
    </row>
    <row r="6" spans="1:7" ht="20.45" customHeight="1" x14ac:dyDescent="0.25">
      <c r="A6" s="438" t="s">
        <v>435</v>
      </c>
      <c r="B6" s="1682" t="s">
        <v>442</v>
      </c>
      <c r="C6" s="1683"/>
      <c r="D6" s="1683"/>
      <c r="E6" s="1683"/>
      <c r="F6" s="1683"/>
      <c r="G6" s="1684"/>
    </row>
    <row r="7" spans="1:7" ht="18" customHeight="1" x14ac:dyDescent="0.25">
      <c r="A7" s="439" t="s">
        <v>8</v>
      </c>
      <c r="B7" s="283" t="s">
        <v>356</v>
      </c>
      <c r="C7" s="426" t="s">
        <v>436</v>
      </c>
      <c r="D7" s="283" t="s">
        <v>357</v>
      </c>
      <c r="E7" s="283" t="s">
        <v>440</v>
      </c>
      <c r="F7" s="468">
        <v>13040.3</v>
      </c>
      <c r="G7" s="313" t="s">
        <v>467</v>
      </c>
    </row>
    <row r="8" spans="1:7" ht="18" customHeight="1" x14ac:dyDescent="0.25">
      <c r="A8" s="439"/>
      <c r="B8" s="283" t="s">
        <v>356</v>
      </c>
      <c r="C8" s="426" t="s">
        <v>436</v>
      </c>
      <c r="D8" s="283" t="s">
        <v>357</v>
      </c>
      <c r="E8" s="283" t="s">
        <v>440</v>
      </c>
      <c r="F8" s="428">
        <v>-32.14</v>
      </c>
      <c r="G8" s="313" t="s">
        <v>468</v>
      </c>
    </row>
    <row r="9" spans="1:7" ht="18" customHeight="1" x14ac:dyDescent="0.25">
      <c r="A9" s="439"/>
      <c r="B9" s="283" t="s">
        <v>356</v>
      </c>
      <c r="C9" s="426" t="s">
        <v>436</v>
      </c>
      <c r="D9" s="283" t="s">
        <v>357</v>
      </c>
      <c r="E9" s="283" t="s">
        <v>440</v>
      </c>
      <c r="F9" s="428">
        <v>6171.8</v>
      </c>
      <c r="G9" s="313" t="s">
        <v>148</v>
      </c>
    </row>
    <row r="10" spans="1:7" ht="13.15" customHeight="1" x14ac:dyDescent="0.25">
      <c r="A10" s="439"/>
      <c r="B10" s="283" t="s">
        <v>356</v>
      </c>
      <c r="C10" s="426" t="s">
        <v>436</v>
      </c>
      <c r="D10" s="283" t="s">
        <v>357</v>
      </c>
      <c r="E10" s="283" t="s">
        <v>440</v>
      </c>
      <c r="F10" s="428">
        <v>60.93</v>
      </c>
      <c r="G10" s="313" t="s">
        <v>24</v>
      </c>
    </row>
    <row r="11" spans="1:7" ht="13.15" customHeight="1" x14ac:dyDescent="0.25">
      <c r="A11" s="439"/>
      <c r="B11" s="283" t="s">
        <v>356</v>
      </c>
      <c r="C11" s="426" t="s">
        <v>436</v>
      </c>
      <c r="D11" s="283" t="s">
        <v>357</v>
      </c>
      <c r="E11" s="283" t="s">
        <v>440</v>
      </c>
      <c r="F11" s="428">
        <v>-232.87</v>
      </c>
      <c r="G11" s="313" t="s">
        <v>469</v>
      </c>
    </row>
    <row r="12" spans="1:7" ht="13.15" customHeight="1" x14ac:dyDescent="0.25">
      <c r="A12" s="439"/>
      <c r="B12" s="283" t="s">
        <v>356</v>
      </c>
      <c r="C12" s="426" t="s">
        <v>436</v>
      </c>
      <c r="D12" s="283" t="s">
        <v>357</v>
      </c>
      <c r="E12" s="283" t="s">
        <v>440</v>
      </c>
      <c r="F12" s="428">
        <v>-220.08</v>
      </c>
      <c r="G12" s="313" t="s">
        <v>453</v>
      </c>
    </row>
    <row r="13" spans="1:7" ht="13.15" customHeight="1" x14ac:dyDescent="0.25">
      <c r="A13" s="439"/>
      <c r="B13" s="283" t="s">
        <v>356</v>
      </c>
      <c r="C13" s="426" t="s">
        <v>436</v>
      </c>
      <c r="D13" s="283" t="s">
        <v>357</v>
      </c>
      <c r="E13" s="283" t="s">
        <v>440</v>
      </c>
      <c r="F13" s="428">
        <v>22502.54</v>
      </c>
      <c r="G13" s="313" t="s">
        <v>28</v>
      </c>
    </row>
    <row r="14" spans="1:7" ht="12.6" customHeight="1" x14ac:dyDescent="0.25">
      <c r="A14" s="439"/>
      <c r="B14" s="283" t="s">
        <v>356</v>
      </c>
      <c r="C14" s="426" t="s">
        <v>436</v>
      </c>
      <c r="D14" s="283" t="s">
        <v>357</v>
      </c>
      <c r="E14" s="283" t="s">
        <v>440</v>
      </c>
      <c r="F14" s="428">
        <v>2964.8</v>
      </c>
      <c r="G14" s="313" t="s">
        <v>30</v>
      </c>
    </row>
    <row r="15" spans="1:7" ht="14.45" customHeight="1" x14ac:dyDescent="0.25">
      <c r="A15" s="439"/>
      <c r="B15" s="283" t="s">
        <v>356</v>
      </c>
      <c r="C15" s="426" t="s">
        <v>436</v>
      </c>
      <c r="D15" s="283" t="s">
        <v>357</v>
      </c>
      <c r="E15" s="283" t="s">
        <v>440</v>
      </c>
      <c r="F15" s="428">
        <v>13126.03</v>
      </c>
      <c r="G15" s="313" t="s">
        <v>343</v>
      </c>
    </row>
    <row r="16" spans="1:7" ht="14.45" customHeight="1" x14ac:dyDescent="0.25">
      <c r="A16" s="439"/>
      <c r="B16" s="283" t="s">
        <v>356</v>
      </c>
      <c r="C16" s="426" t="s">
        <v>436</v>
      </c>
      <c r="D16" s="283" t="s">
        <v>357</v>
      </c>
      <c r="E16" s="283" t="s">
        <v>440</v>
      </c>
      <c r="F16" s="428">
        <v>-390.9</v>
      </c>
      <c r="G16" s="313" t="s">
        <v>336</v>
      </c>
    </row>
    <row r="17" spans="1:7" ht="13.9" customHeight="1" x14ac:dyDescent="0.25">
      <c r="A17" s="439"/>
      <c r="B17" s="283" t="s">
        <v>356</v>
      </c>
      <c r="C17" s="426" t="s">
        <v>436</v>
      </c>
      <c r="D17" s="283" t="s">
        <v>357</v>
      </c>
      <c r="E17" s="283" t="s">
        <v>440</v>
      </c>
      <c r="F17" s="428">
        <v>43293.5</v>
      </c>
      <c r="G17" s="313" t="s">
        <v>22</v>
      </c>
    </row>
    <row r="18" spans="1:7" ht="13.9" customHeight="1" x14ac:dyDescent="0.25">
      <c r="A18" s="439"/>
      <c r="B18" s="283" t="s">
        <v>356</v>
      </c>
      <c r="C18" s="426" t="s">
        <v>436</v>
      </c>
      <c r="D18" s="283" t="s">
        <v>357</v>
      </c>
      <c r="E18" s="283" t="s">
        <v>440</v>
      </c>
      <c r="F18" s="428">
        <v>69476</v>
      </c>
      <c r="G18" s="313" t="s">
        <v>105</v>
      </c>
    </row>
    <row r="19" spans="1:7" ht="16.149999999999999" customHeight="1" x14ac:dyDescent="0.25">
      <c r="A19" s="440"/>
      <c r="B19" s="430" t="s">
        <v>356</v>
      </c>
      <c r="C19" s="398" t="s">
        <v>436</v>
      </c>
      <c r="D19" s="430" t="s">
        <v>357</v>
      </c>
      <c r="E19" s="430" t="s">
        <v>440</v>
      </c>
      <c r="F19" s="431">
        <f>SUM(F7:F18)</f>
        <v>169759.91</v>
      </c>
      <c r="G19" s="441"/>
    </row>
    <row r="20" spans="1:7" ht="16.149999999999999" customHeight="1" x14ac:dyDescent="0.25">
      <c r="A20" s="440"/>
      <c r="B20" s="429" t="s">
        <v>356</v>
      </c>
      <c r="C20" s="426" t="s">
        <v>436</v>
      </c>
      <c r="D20" s="429" t="s">
        <v>360</v>
      </c>
      <c r="E20" s="429" t="s">
        <v>440</v>
      </c>
      <c r="F20" s="456">
        <v>10305.200000000001</v>
      </c>
      <c r="G20" s="442" t="s">
        <v>46</v>
      </c>
    </row>
    <row r="21" spans="1:7" ht="16.149999999999999" customHeight="1" x14ac:dyDescent="0.25">
      <c r="A21" s="440"/>
      <c r="B21" s="429" t="s">
        <v>356</v>
      </c>
      <c r="C21" s="426" t="s">
        <v>436</v>
      </c>
      <c r="D21" s="429" t="s">
        <v>360</v>
      </c>
      <c r="E21" s="429" t="s">
        <v>440</v>
      </c>
      <c r="F21" s="456">
        <v>9232.9</v>
      </c>
      <c r="G21" s="442" t="s">
        <v>158</v>
      </c>
    </row>
    <row r="22" spans="1:7" ht="13.15" customHeight="1" x14ac:dyDescent="0.25">
      <c r="A22" s="440"/>
      <c r="B22" s="429" t="s">
        <v>356</v>
      </c>
      <c r="C22" s="426" t="s">
        <v>436</v>
      </c>
      <c r="D22" s="429" t="s">
        <v>360</v>
      </c>
      <c r="E22" s="429" t="s">
        <v>440</v>
      </c>
      <c r="F22" s="428">
        <v>11380</v>
      </c>
      <c r="G22" s="442" t="s">
        <v>443</v>
      </c>
    </row>
    <row r="23" spans="1:7" ht="13.15" customHeight="1" x14ac:dyDescent="0.25">
      <c r="A23" s="440"/>
      <c r="B23" s="429" t="s">
        <v>356</v>
      </c>
      <c r="C23" s="426" t="s">
        <v>436</v>
      </c>
      <c r="D23" s="429" t="s">
        <v>360</v>
      </c>
      <c r="E23" s="429" t="s">
        <v>440</v>
      </c>
      <c r="F23" s="468">
        <v>14720.95</v>
      </c>
      <c r="G23" s="494" t="s">
        <v>68</v>
      </c>
    </row>
    <row r="24" spans="1:7" ht="15.6" customHeight="1" x14ac:dyDescent="0.25">
      <c r="A24" s="440"/>
      <c r="B24" s="430" t="s">
        <v>356</v>
      </c>
      <c r="C24" s="398" t="s">
        <v>436</v>
      </c>
      <c r="D24" s="430" t="s">
        <v>360</v>
      </c>
      <c r="E24" s="430" t="s">
        <v>440</v>
      </c>
      <c r="F24" s="431">
        <f>SUM(F20:F23)</f>
        <v>45639.05</v>
      </c>
      <c r="G24" s="441"/>
    </row>
    <row r="25" spans="1:7" ht="14.45" customHeight="1" x14ac:dyDescent="0.25">
      <c r="A25" s="501"/>
      <c r="B25" s="502" t="s">
        <v>356</v>
      </c>
      <c r="C25" s="503" t="s">
        <v>436</v>
      </c>
      <c r="D25" s="504"/>
      <c r="E25" s="504"/>
      <c r="F25" s="505">
        <f>F24+F19</f>
        <v>215398.96000000002</v>
      </c>
      <c r="G25" s="531"/>
    </row>
    <row r="26" spans="1:7" ht="14.45" customHeight="1" x14ac:dyDescent="0.25">
      <c r="A26" s="440"/>
      <c r="B26" s="429" t="s">
        <v>356</v>
      </c>
      <c r="C26" s="426" t="s">
        <v>465</v>
      </c>
      <c r="D26" s="429" t="s">
        <v>444</v>
      </c>
      <c r="E26" s="429" t="s">
        <v>447</v>
      </c>
      <c r="F26" s="471">
        <v>-180609.64</v>
      </c>
      <c r="G26" s="1676" t="s">
        <v>472</v>
      </c>
    </row>
    <row r="27" spans="1:7" ht="14.45" customHeight="1" x14ac:dyDescent="0.25">
      <c r="A27" s="440"/>
      <c r="B27" s="429" t="s">
        <v>356</v>
      </c>
      <c r="C27" s="426" t="s">
        <v>465</v>
      </c>
      <c r="D27" s="429" t="s">
        <v>444</v>
      </c>
      <c r="E27" s="429" t="s">
        <v>448</v>
      </c>
      <c r="F27" s="471">
        <v>-54582.41</v>
      </c>
      <c r="G27" s="1691"/>
    </row>
    <row r="28" spans="1:7" ht="14.45" customHeight="1" x14ac:dyDescent="0.25">
      <c r="A28" s="440"/>
      <c r="B28" s="430" t="s">
        <v>356</v>
      </c>
      <c r="C28" s="398" t="s">
        <v>465</v>
      </c>
      <c r="D28" s="430" t="s">
        <v>444</v>
      </c>
      <c r="E28" s="429"/>
      <c r="F28" s="469">
        <f>F26+F27</f>
        <v>-235192.05000000002</v>
      </c>
      <c r="G28" s="470"/>
    </row>
    <row r="29" spans="1:7" ht="14.45" customHeight="1" x14ac:dyDescent="0.25">
      <c r="A29" s="440"/>
      <c r="B29" s="429" t="s">
        <v>356</v>
      </c>
      <c r="C29" s="426" t="s">
        <v>465</v>
      </c>
      <c r="D29" s="429" t="s">
        <v>445</v>
      </c>
      <c r="E29" s="429" t="s">
        <v>447</v>
      </c>
      <c r="F29" s="471">
        <v>-307200</v>
      </c>
      <c r="G29" s="1676" t="s">
        <v>473</v>
      </c>
    </row>
    <row r="30" spans="1:7" ht="14.45" customHeight="1" x14ac:dyDescent="0.25">
      <c r="A30" s="440"/>
      <c r="B30" s="429" t="s">
        <v>356</v>
      </c>
      <c r="C30" s="426" t="s">
        <v>465</v>
      </c>
      <c r="D30" s="429" t="s">
        <v>445</v>
      </c>
      <c r="E30" s="429" t="s">
        <v>448</v>
      </c>
      <c r="F30" s="471">
        <v>-92800</v>
      </c>
      <c r="G30" s="1691"/>
    </row>
    <row r="31" spans="1:7" ht="14.45" customHeight="1" x14ac:dyDescent="0.25">
      <c r="A31" s="440"/>
      <c r="B31" s="430" t="s">
        <v>356</v>
      </c>
      <c r="C31" s="398" t="s">
        <v>465</v>
      </c>
      <c r="D31" s="430" t="s">
        <v>445</v>
      </c>
      <c r="E31" s="429"/>
      <c r="F31" s="469">
        <f>F29+F30</f>
        <v>-400000</v>
      </c>
      <c r="G31" s="470"/>
    </row>
    <row r="32" spans="1:7" ht="14.45" customHeight="1" x14ac:dyDescent="0.25">
      <c r="A32" s="501"/>
      <c r="B32" s="502" t="s">
        <v>356</v>
      </c>
      <c r="C32" s="503" t="s">
        <v>465</v>
      </c>
      <c r="D32" s="502"/>
      <c r="E32" s="506"/>
      <c r="F32" s="507">
        <f>F28+F31</f>
        <v>-635192.05000000005</v>
      </c>
      <c r="G32" s="532"/>
    </row>
    <row r="33" spans="1:8" ht="14.45" customHeight="1" x14ac:dyDescent="0.25">
      <c r="A33" s="519" t="s">
        <v>478</v>
      </c>
      <c r="B33" s="527"/>
      <c r="C33" s="521"/>
      <c r="D33" s="527"/>
      <c r="E33" s="528"/>
      <c r="F33" s="529">
        <f>F32+F25</f>
        <v>-419793.09</v>
      </c>
      <c r="G33" s="530"/>
    </row>
    <row r="34" spans="1:8" x14ac:dyDescent="0.25">
      <c r="A34" s="440" t="s">
        <v>6</v>
      </c>
      <c r="B34" s="283" t="s">
        <v>359</v>
      </c>
      <c r="C34" s="426" t="s">
        <v>436</v>
      </c>
      <c r="D34" s="283" t="s">
        <v>357</v>
      </c>
      <c r="E34" s="283" t="s">
        <v>440</v>
      </c>
      <c r="F34" s="314">
        <v>-700</v>
      </c>
      <c r="G34" s="443" t="s">
        <v>34</v>
      </c>
      <c r="H34" s="282"/>
    </row>
    <row r="35" spans="1:8" x14ac:dyDescent="0.25">
      <c r="A35" s="444"/>
      <c r="B35" s="283" t="s">
        <v>359</v>
      </c>
      <c r="C35" s="426" t="s">
        <v>436</v>
      </c>
      <c r="D35" s="283" t="s">
        <v>357</v>
      </c>
      <c r="E35" s="283" t="s">
        <v>440</v>
      </c>
      <c r="F35" s="314">
        <v>10</v>
      </c>
      <c r="G35" s="443" t="s">
        <v>17</v>
      </c>
      <c r="H35" s="282"/>
    </row>
    <row r="36" spans="1:8" x14ac:dyDescent="0.25">
      <c r="A36" s="444"/>
      <c r="B36" s="283" t="s">
        <v>359</v>
      </c>
      <c r="C36" s="426" t="s">
        <v>436</v>
      </c>
      <c r="D36" s="283" t="s">
        <v>357</v>
      </c>
      <c r="E36" s="283" t="s">
        <v>440</v>
      </c>
      <c r="F36" s="314">
        <v>5830</v>
      </c>
      <c r="G36" s="425" t="s">
        <v>39</v>
      </c>
      <c r="H36" s="282"/>
    </row>
    <row r="37" spans="1:8" x14ac:dyDescent="0.25">
      <c r="A37" s="444"/>
      <c r="B37" s="283" t="s">
        <v>359</v>
      </c>
      <c r="C37" s="426" t="s">
        <v>436</v>
      </c>
      <c r="D37" s="283" t="s">
        <v>357</v>
      </c>
      <c r="E37" s="283" t="s">
        <v>440</v>
      </c>
      <c r="F37" s="314">
        <v>-700</v>
      </c>
      <c r="G37" s="425" t="s">
        <v>70</v>
      </c>
      <c r="H37" s="282"/>
    </row>
    <row r="38" spans="1:8" x14ac:dyDescent="0.25">
      <c r="A38" s="444"/>
      <c r="B38" s="283" t="s">
        <v>359</v>
      </c>
      <c r="C38" s="426" t="s">
        <v>436</v>
      </c>
      <c r="D38" s="283" t="s">
        <v>357</v>
      </c>
      <c r="E38" s="283" t="s">
        <v>440</v>
      </c>
      <c r="F38" s="314">
        <v>-190</v>
      </c>
      <c r="G38" s="425" t="s">
        <v>97</v>
      </c>
      <c r="H38" s="282"/>
    </row>
    <row r="39" spans="1:8" x14ac:dyDescent="0.25">
      <c r="A39" s="444"/>
      <c r="B39" s="283" t="s">
        <v>359</v>
      </c>
      <c r="C39" s="426" t="s">
        <v>436</v>
      </c>
      <c r="D39" s="283" t="s">
        <v>357</v>
      </c>
      <c r="E39" s="283" t="s">
        <v>440</v>
      </c>
      <c r="F39" s="314">
        <v>8065</v>
      </c>
      <c r="G39" s="425" t="s">
        <v>284</v>
      </c>
      <c r="H39" s="282"/>
    </row>
    <row r="40" spans="1:8" x14ac:dyDescent="0.25">
      <c r="A40" s="444"/>
      <c r="B40" s="320" t="s">
        <v>359</v>
      </c>
      <c r="C40" s="398" t="s">
        <v>436</v>
      </c>
      <c r="D40" s="320" t="s">
        <v>357</v>
      </c>
      <c r="E40" s="320" t="s">
        <v>440</v>
      </c>
      <c r="F40" s="432">
        <f>F34+F35+F36+F37+F38+F39</f>
        <v>12315</v>
      </c>
      <c r="G40" s="425"/>
      <c r="H40" s="282"/>
    </row>
    <row r="41" spans="1:8" x14ac:dyDescent="0.25">
      <c r="A41" s="444"/>
      <c r="B41" s="283" t="s">
        <v>359</v>
      </c>
      <c r="C41" s="426" t="s">
        <v>436</v>
      </c>
      <c r="D41" s="283" t="s">
        <v>360</v>
      </c>
      <c r="E41" s="283" t="s">
        <v>440</v>
      </c>
      <c r="F41" s="314">
        <v>-400</v>
      </c>
      <c r="G41" s="425" t="s">
        <v>93</v>
      </c>
      <c r="H41" s="282"/>
    </row>
    <row r="42" spans="1:8" x14ac:dyDescent="0.25">
      <c r="A42" s="444"/>
      <c r="B42" s="283" t="s">
        <v>359</v>
      </c>
      <c r="C42" s="426" t="s">
        <v>436</v>
      </c>
      <c r="D42" s="283" t="s">
        <v>360</v>
      </c>
      <c r="E42" s="283" t="s">
        <v>440</v>
      </c>
      <c r="F42" s="314">
        <v>77615</v>
      </c>
      <c r="G42" s="313" t="s">
        <v>16</v>
      </c>
      <c r="H42" s="282"/>
    </row>
    <row r="43" spans="1:8" x14ac:dyDescent="0.25">
      <c r="A43" s="444"/>
      <c r="B43" s="320" t="s">
        <v>359</v>
      </c>
      <c r="C43" s="398" t="s">
        <v>436</v>
      </c>
      <c r="D43" s="320" t="s">
        <v>360</v>
      </c>
      <c r="E43" s="320" t="s">
        <v>440</v>
      </c>
      <c r="F43" s="432">
        <f>F41+F42</f>
        <v>77215</v>
      </c>
      <c r="G43" s="313"/>
      <c r="H43" s="282"/>
    </row>
    <row r="44" spans="1:8" x14ac:dyDescent="0.25">
      <c r="A44" s="519" t="s">
        <v>477</v>
      </c>
      <c r="B44" s="520" t="s">
        <v>359</v>
      </c>
      <c r="C44" s="521" t="s">
        <v>436</v>
      </c>
      <c r="D44" s="520"/>
      <c r="E44" s="520"/>
      <c r="F44" s="522">
        <f>F43+F40</f>
        <v>89530</v>
      </c>
      <c r="G44" s="523"/>
      <c r="H44" s="282"/>
    </row>
    <row r="45" spans="1:8" x14ac:dyDescent="0.25">
      <c r="A45" s="440" t="s">
        <v>51</v>
      </c>
      <c r="B45" s="283" t="s">
        <v>359</v>
      </c>
      <c r="C45" s="426" t="s">
        <v>436</v>
      </c>
      <c r="D45" s="283" t="s">
        <v>360</v>
      </c>
      <c r="E45" s="283" t="s">
        <v>440</v>
      </c>
      <c r="F45" s="314">
        <v>-200</v>
      </c>
      <c r="G45" s="313" t="s">
        <v>470</v>
      </c>
      <c r="H45" s="282"/>
    </row>
    <row r="46" spans="1:8" x14ac:dyDescent="0.25">
      <c r="A46" s="444"/>
      <c r="B46" s="283" t="s">
        <v>359</v>
      </c>
      <c r="C46" s="426" t="s">
        <v>436</v>
      </c>
      <c r="D46" s="283" t="s">
        <v>360</v>
      </c>
      <c r="E46" s="283" t="s">
        <v>440</v>
      </c>
      <c r="F46" s="314">
        <v>-15000</v>
      </c>
      <c r="G46" s="313" t="s">
        <v>471</v>
      </c>
      <c r="H46" s="282"/>
    </row>
    <row r="47" spans="1:8" x14ac:dyDescent="0.25">
      <c r="A47" s="519" t="s">
        <v>479</v>
      </c>
      <c r="B47" s="524" t="s">
        <v>359</v>
      </c>
      <c r="C47" s="524" t="s">
        <v>436</v>
      </c>
      <c r="D47" s="524"/>
      <c r="E47" s="525"/>
      <c r="F47" s="522">
        <f>F45+F46</f>
        <v>-15200</v>
      </c>
      <c r="G47" s="526"/>
      <c r="H47" s="282"/>
    </row>
    <row r="48" spans="1:8" x14ac:dyDescent="0.25">
      <c r="A48" s="440" t="s">
        <v>212</v>
      </c>
      <c r="B48" s="460" t="s">
        <v>356</v>
      </c>
      <c r="C48" s="460" t="s">
        <v>474</v>
      </c>
      <c r="D48" s="460" t="s">
        <v>360</v>
      </c>
      <c r="E48" s="461" t="s">
        <v>464</v>
      </c>
      <c r="F48" s="462">
        <v>-50086</v>
      </c>
      <c r="G48" s="467" t="s">
        <v>431</v>
      </c>
      <c r="H48" s="282"/>
    </row>
    <row r="49" spans="1:8" x14ac:dyDescent="0.25">
      <c r="A49" s="472" t="s">
        <v>188</v>
      </c>
      <c r="B49" s="460" t="s">
        <v>359</v>
      </c>
      <c r="C49" s="460" t="s">
        <v>457</v>
      </c>
      <c r="D49" s="460" t="s">
        <v>360</v>
      </c>
      <c r="E49" s="461" t="s">
        <v>358</v>
      </c>
      <c r="F49" s="462">
        <v>-250000</v>
      </c>
      <c r="G49" s="467" t="s">
        <v>377</v>
      </c>
      <c r="H49" s="282"/>
    </row>
    <row r="50" spans="1:8" x14ac:dyDescent="0.25">
      <c r="A50" s="472" t="s">
        <v>455</v>
      </c>
      <c r="B50" s="490" t="s">
        <v>359</v>
      </c>
      <c r="C50" s="490" t="s">
        <v>456</v>
      </c>
      <c r="D50" s="490" t="s">
        <v>360</v>
      </c>
      <c r="E50" s="491">
        <v>21201</v>
      </c>
      <c r="F50" s="492">
        <v>1700</v>
      </c>
      <c r="G50" s="1678" t="s">
        <v>454</v>
      </c>
      <c r="H50" s="282"/>
    </row>
    <row r="51" spans="1:8" x14ac:dyDescent="0.25">
      <c r="A51" s="472"/>
      <c r="B51" s="490" t="s">
        <v>359</v>
      </c>
      <c r="C51" s="490" t="s">
        <v>456</v>
      </c>
      <c r="D51" s="490" t="s">
        <v>360</v>
      </c>
      <c r="E51" s="490" t="s">
        <v>480</v>
      </c>
      <c r="F51" s="493">
        <v>9000</v>
      </c>
      <c r="G51" s="1692"/>
      <c r="H51" s="282"/>
    </row>
    <row r="52" spans="1:8" x14ac:dyDescent="0.25">
      <c r="A52" s="472"/>
      <c r="B52" s="490" t="s">
        <v>359</v>
      </c>
      <c r="C52" s="490" t="s">
        <v>456</v>
      </c>
      <c r="D52" s="490" t="s">
        <v>360</v>
      </c>
      <c r="E52" s="490" t="s">
        <v>481</v>
      </c>
      <c r="F52" s="493">
        <v>22300</v>
      </c>
      <c r="G52" s="1679"/>
      <c r="H52" s="282"/>
    </row>
    <row r="53" spans="1:8" x14ac:dyDescent="0.25">
      <c r="A53" s="508"/>
      <c r="B53" s="465" t="s">
        <v>359</v>
      </c>
      <c r="C53" s="465" t="s">
        <v>456</v>
      </c>
      <c r="D53" s="465" t="s">
        <v>360</v>
      </c>
      <c r="E53" s="490"/>
      <c r="F53" s="462">
        <f>F50+F51+F52</f>
        <v>33000</v>
      </c>
      <c r="G53" s="473"/>
      <c r="H53" s="282"/>
    </row>
    <row r="54" spans="1:8" x14ac:dyDescent="0.25">
      <c r="A54" s="509" t="s">
        <v>460</v>
      </c>
      <c r="B54" s="510"/>
      <c r="C54" s="511"/>
      <c r="D54" s="512"/>
      <c r="E54" s="512"/>
      <c r="F54" s="458">
        <f>F25+F32+F44+F47+F48+F49+F53</f>
        <v>-612549.09000000008</v>
      </c>
      <c r="G54" s="513"/>
      <c r="H54" s="282"/>
    </row>
    <row r="55" spans="1:8" x14ac:dyDescent="0.25">
      <c r="A55" s="440" t="s">
        <v>449</v>
      </c>
      <c r="B55" s="1685" t="s">
        <v>450</v>
      </c>
      <c r="C55" s="1686"/>
      <c r="D55" s="1686"/>
      <c r="E55" s="1686"/>
      <c r="F55" s="1686"/>
      <c r="G55" s="1687"/>
      <c r="H55" s="282"/>
    </row>
    <row r="56" spans="1:8" x14ac:dyDescent="0.25">
      <c r="A56" s="446" t="s">
        <v>53</v>
      </c>
      <c r="B56" s="459" t="s">
        <v>359</v>
      </c>
      <c r="C56" s="463" t="s">
        <v>475</v>
      </c>
      <c r="D56" s="463" t="s">
        <v>357</v>
      </c>
      <c r="E56" s="463" t="s">
        <v>358</v>
      </c>
      <c r="F56" s="464">
        <v>150000</v>
      </c>
      <c r="G56" s="442" t="s">
        <v>376</v>
      </c>
      <c r="H56" s="282"/>
    </row>
    <row r="57" spans="1:8" x14ac:dyDescent="0.25">
      <c r="A57" s="440"/>
      <c r="B57" s="459"/>
      <c r="C57" s="466"/>
      <c r="D57" s="466"/>
      <c r="E57" s="466"/>
      <c r="F57" s="464"/>
      <c r="G57" s="313"/>
      <c r="H57" s="282"/>
    </row>
    <row r="58" spans="1:8" x14ac:dyDescent="0.25">
      <c r="A58" s="509" t="s">
        <v>458</v>
      </c>
      <c r="B58" s="514"/>
      <c r="C58" s="515"/>
      <c r="D58" s="515"/>
      <c r="E58" s="515"/>
      <c r="F58" s="458">
        <f>F56+F57</f>
        <v>150000</v>
      </c>
      <c r="G58" s="516"/>
      <c r="H58" s="282"/>
    </row>
    <row r="59" spans="1:8" ht="25.9" customHeight="1" x14ac:dyDescent="0.25">
      <c r="A59" s="440" t="s">
        <v>438</v>
      </c>
      <c r="B59" s="1688" t="s">
        <v>451</v>
      </c>
      <c r="C59" s="1689"/>
      <c r="D59" s="1689"/>
      <c r="E59" s="1689"/>
      <c r="F59" s="1689"/>
      <c r="G59" s="1690"/>
      <c r="H59" s="282"/>
    </row>
    <row r="60" spans="1:8" ht="18" customHeight="1" x14ac:dyDescent="0.25">
      <c r="A60" s="440" t="s">
        <v>6</v>
      </c>
      <c r="B60" s="398" t="s">
        <v>437</v>
      </c>
      <c r="C60" s="474" t="s">
        <v>466</v>
      </c>
      <c r="D60" s="475">
        <v>612</v>
      </c>
      <c r="E60" s="475">
        <v>21291</v>
      </c>
      <c r="F60" s="476">
        <v>-11694.2</v>
      </c>
      <c r="G60" s="495" t="s">
        <v>439</v>
      </c>
      <c r="H60" s="282"/>
    </row>
    <row r="61" spans="1:8" ht="14.45" customHeight="1" x14ac:dyDescent="0.25">
      <c r="A61" s="440" t="s">
        <v>8</v>
      </c>
      <c r="B61" s="398" t="s">
        <v>437</v>
      </c>
      <c r="C61" s="474" t="s">
        <v>466</v>
      </c>
      <c r="D61" s="475">
        <v>612</v>
      </c>
      <c r="E61" s="475">
        <v>21291</v>
      </c>
      <c r="F61" s="476">
        <v>-48187.71</v>
      </c>
      <c r="G61" s="496" t="s">
        <v>110</v>
      </c>
      <c r="H61" s="282"/>
    </row>
    <row r="62" spans="1:8" ht="14.45" customHeight="1" x14ac:dyDescent="0.25">
      <c r="A62" s="497"/>
      <c r="B62" s="398" t="s">
        <v>437</v>
      </c>
      <c r="C62" s="474" t="s">
        <v>466</v>
      </c>
      <c r="D62" s="475">
        <v>612</v>
      </c>
      <c r="E62" s="475"/>
      <c r="F62" s="476">
        <f>F60+F61</f>
        <v>-59881.91</v>
      </c>
      <c r="G62" s="498"/>
      <c r="H62" s="282"/>
    </row>
    <row r="63" spans="1:8" x14ac:dyDescent="0.25">
      <c r="A63" s="499" t="s">
        <v>8</v>
      </c>
      <c r="B63" s="283" t="s">
        <v>437</v>
      </c>
      <c r="C63" s="426" t="s">
        <v>476</v>
      </c>
      <c r="D63" s="369">
        <v>611</v>
      </c>
      <c r="E63" s="369">
        <v>21101</v>
      </c>
      <c r="F63" s="456">
        <v>309086.5</v>
      </c>
      <c r="G63" s="1676" t="s">
        <v>110</v>
      </c>
      <c r="H63" s="282"/>
    </row>
    <row r="64" spans="1:8" x14ac:dyDescent="0.25">
      <c r="A64" s="440"/>
      <c r="B64" s="283" t="s">
        <v>437</v>
      </c>
      <c r="C64" s="426" t="s">
        <v>476</v>
      </c>
      <c r="D64" s="369">
        <v>611</v>
      </c>
      <c r="E64" s="369">
        <v>21301</v>
      </c>
      <c r="F64" s="456">
        <v>93344.5</v>
      </c>
      <c r="G64" s="1677"/>
      <c r="H64" s="282"/>
    </row>
    <row r="65" spans="1:8" x14ac:dyDescent="0.25">
      <c r="A65" s="440"/>
      <c r="B65" s="320" t="s">
        <v>437</v>
      </c>
      <c r="C65" s="398" t="s">
        <v>476</v>
      </c>
      <c r="D65" s="434">
        <v>611</v>
      </c>
      <c r="E65" s="434"/>
      <c r="F65" s="409">
        <f>F63+F64</f>
        <v>402431</v>
      </c>
      <c r="G65" s="445"/>
      <c r="H65" s="282"/>
    </row>
    <row r="66" spans="1:8" x14ac:dyDescent="0.25">
      <c r="A66" s="440" t="s">
        <v>13</v>
      </c>
      <c r="B66" s="433" t="s">
        <v>359</v>
      </c>
      <c r="C66" s="433" t="s">
        <v>452</v>
      </c>
      <c r="D66" s="433" t="s">
        <v>360</v>
      </c>
      <c r="E66" s="369">
        <v>29003</v>
      </c>
      <c r="F66" s="488">
        <v>50400</v>
      </c>
      <c r="G66" s="1678" t="s">
        <v>446</v>
      </c>
      <c r="H66" s="282"/>
    </row>
    <row r="67" spans="1:8" x14ac:dyDescent="0.25">
      <c r="A67" s="440"/>
      <c r="B67" s="433" t="s">
        <v>359</v>
      </c>
      <c r="C67" s="433" t="s">
        <v>452</v>
      </c>
      <c r="D67" s="433" t="s">
        <v>360</v>
      </c>
      <c r="E67" s="369">
        <v>29099</v>
      </c>
      <c r="F67" s="488">
        <v>69600</v>
      </c>
      <c r="G67" s="1679"/>
      <c r="H67" s="282"/>
    </row>
    <row r="68" spans="1:8" x14ac:dyDescent="0.25">
      <c r="A68" s="500"/>
      <c r="B68" s="489" t="s">
        <v>359</v>
      </c>
      <c r="C68" s="489" t="s">
        <v>452</v>
      </c>
      <c r="D68" s="489" t="s">
        <v>360</v>
      </c>
      <c r="E68" s="489"/>
      <c r="F68" s="409">
        <f>F67+F66</f>
        <v>120000</v>
      </c>
      <c r="G68" s="445"/>
      <c r="H68" s="282"/>
    </row>
    <row r="69" spans="1:8" x14ac:dyDescent="0.25">
      <c r="A69" s="440"/>
      <c r="B69" s="320"/>
      <c r="C69" s="320"/>
      <c r="D69" s="320"/>
      <c r="E69" s="320"/>
      <c r="F69" s="409"/>
      <c r="G69" s="445"/>
      <c r="H69" s="282"/>
    </row>
    <row r="70" spans="1:8" x14ac:dyDescent="0.25">
      <c r="A70" s="509" t="s">
        <v>459</v>
      </c>
      <c r="B70" s="517"/>
      <c r="C70" s="517"/>
      <c r="D70" s="517"/>
      <c r="E70" s="517"/>
      <c r="F70" s="458">
        <f>F60+F61+F65+F68</f>
        <v>462549.08999999997</v>
      </c>
      <c r="G70" s="518"/>
      <c r="H70" s="282"/>
    </row>
    <row r="71" spans="1:8" ht="15.75" thickBot="1" x14ac:dyDescent="0.3">
      <c r="A71" s="447"/>
      <c r="B71" s="435"/>
      <c r="C71" s="436" t="s">
        <v>145</v>
      </c>
      <c r="D71" s="435"/>
      <c r="E71" s="436"/>
      <c r="F71" s="437">
        <f>F70+F58+F54</f>
        <v>0</v>
      </c>
      <c r="G71" s="487"/>
      <c r="H71" s="282"/>
    </row>
    <row r="72" spans="1:8" x14ac:dyDescent="0.25">
      <c r="B72" s="282"/>
      <c r="C72" s="282"/>
      <c r="D72" s="282"/>
      <c r="E72" s="282"/>
      <c r="F72" s="282"/>
      <c r="G72" s="282"/>
    </row>
    <row r="73" spans="1:8" x14ac:dyDescent="0.25">
      <c r="A73" s="282" t="s">
        <v>378</v>
      </c>
      <c r="B73" s="282"/>
      <c r="C73" s="282"/>
      <c r="D73" s="282"/>
      <c r="E73" s="282"/>
      <c r="F73" s="282"/>
      <c r="G73" s="282"/>
    </row>
    <row r="74" spans="1:8" x14ac:dyDescent="0.25">
      <c r="A74" s="282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'1 подпр'!Заголовки_для_печати</vt:lpstr>
      <vt:lpstr>'2 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'6-подпр 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Людмила В. Сорокина</cp:lastModifiedBy>
  <cp:lastPrinted>2020-07-30T08:45:15Z</cp:lastPrinted>
  <dcterms:created xsi:type="dcterms:W3CDTF">2013-09-29T08:43:10Z</dcterms:created>
  <dcterms:modified xsi:type="dcterms:W3CDTF">2020-07-30T13:01:07Z</dcterms:modified>
</cp:coreProperties>
</file>